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4 рік\сайт\"/>
    </mc:Choice>
  </mc:AlternateContent>
  <bookViews>
    <workbookView xWindow="0" yWindow="0" windowWidth="28800" windowHeight="11880" tabRatio="774"/>
  </bookViews>
  <sheets>
    <sheet name="01.06.2024" sheetId="23" r:id="rId1"/>
  </sheets>
  <definedNames>
    <definedName name="_xlnm.Print_Titles" localSheetId="0">'01.06.2024'!$3:$5</definedName>
    <definedName name="_xlnm.Print_Area" localSheetId="0">'01.06.2024'!$A$1:$U$113</definedName>
  </definedNames>
  <calcPr calcId="162913"/>
</workbook>
</file>

<file path=xl/calcChain.xml><?xml version="1.0" encoding="utf-8"?>
<calcChain xmlns="http://schemas.openxmlformats.org/spreadsheetml/2006/main">
  <c r="O42" i="23" l="1"/>
  <c r="F42" i="23"/>
  <c r="J104" i="23" l="1"/>
  <c r="J96" i="23"/>
  <c r="J109" i="23" s="1"/>
  <c r="J95" i="23"/>
  <c r="J94" i="23"/>
  <c r="J83" i="23"/>
  <c r="J77" i="23"/>
  <c r="J88" i="23" s="1"/>
  <c r="J72" i="23"/>
  <c r="J70" i="23"/>
  <c r="J105" i="23" s="1"/>
  <c r="J65" i="23"/>
  <c r="J59" i="23" s="1"/>
  <c r="J73" i="23" s="1"/>
  <c r="J37" i="23"/>
  <c r="J22" i="23"/>
  <c r="J18" i="23"/>
  <c r="J14" i="23" s="1"/>
  <c r="J15" i="23"/>
  <c r="J9" i="23"/>
  <c r="J107" i="23" l="1"/>
  <c r="J108" i="23"/>
  <c r="J93" i="23"/>
  <c r="J71" i="23"/>
  <c r="J67" i="23" s="1"/>
  <c r="J92" i="23"/>
  <c r="J97" i="23" s="1"/>
  <c r="J51" i="23"/>
  <c r="J106" i="23" l="1"/>
  <c r="J103" i="23" s="1"/>
  <c r="J99" i="23"/>
  <c r="J75" i="23"/>
  <c r="O87" i="23"/>
  <c r="O86" i="23"/>
  <c r="O85" i="23"/>
  <c r="O84" i="23"/>
  <c r="O82" i="23"/>
  <c r="O81" i="23"/>
  <c r="O78" i="23"/>
  <c r="M42" i="23"/>
  <c r="T42" i="23"/>
  <c r="P42" i="23"/>
  <c r="O50" i="23"/>
  <c r="O49" i="23"/>
  <c r="O48" i="23"/>
  <c r="O46" i="23"/>
  <c r="O45" i="23"/>
  <c r="O44" i="23"/>
  <c r="O43" i="23"/>
  <c r="O41" i="23"/>
  <c r="O40" i="23"/>
  <c r="O39" i="23"/>
  <c r="O38" i="23"/>
  <c r="O36" i="23"/>
  <c r="O35" i="23"/>
  <c r="O34" i="23"/>
  <c r="O33" i="23"/>
  <c r="O32" i="23"/>
  <c r="O30" i="23"/>
  <c r="O29" i="23"/>
  <c r="O28" i="23"/>
  <c r="O27" i="23"/>
  <c r="O26" i="23"/>
  <c r="O21" i="23"/>
  <c r="O20" i="23"/>
  <c r="O17" i="23"/>
  <c r="O16" i="23"/>
  <c r="O13" i="23"/>
  <c r="O12" i="23"/>
  <c r="O11" i="23"/>
  <c r="O10" i="23"/>
  <c r="O7" i="23"/>
  <c r="J111" i="23" l="1"/>
  <c r="L72" i="23"/>
  <c r="O52" i="23" l="1"/>
  <c r="O58" i="23"/>
  <c r="O57" i="23"/>
  <c r="O56" i="23"/>
  <c r="F57" i="23"/>
  <c r="F58" i="23"/>
  <c r="T58" i="23" s="1"/>
  <c r="O63" i="23"/>
  <c r="F63" i="23"/>
  <c r="T63" i="23" s="1"/>
  <c r="N58" i="23" l="1"/>
  <c r="P58" i="23"/>
  <c r="P57" i="23"/>
  <c r="M63" i="23"/>
  <c r="M57" i="23"/>
  <c r="P63" i="23"/>
  <c r="Q58" i="23"/>
  <c r="R58" i="23"/>
  <c r="M58" i="23"/>
  <c r="I109" i="23"/>
  <c r="I105" i="23"/>
  <c r="I104" i="23"/>
  <c r="I96" i="23"/>
  <c r="I95" i="23"/>
  <c r="I94" i="23"/>
  <c r="I93" i="23" s="1"/>
  <c r="I92" i="23" s="1"/>
  <c r="I83" i="23"/>
  <c r="I77" i="23"/>
  <c r="I88" i="23" s="1"/>
  <c r="I97" i="23" s="1"/>
  <c r="I72" i="23"/>
  <c r="I107" i="23" s="1"/>
  <c r="I70" i="23"/>
  <c r="I59" i="23"/>
  <c r="I37" i="23"/>
  <c r="I22" i="23"/>
  <c r="I18" i="23"/>
  <c r="I15" i="23"/>
  <c r="I9" i="23"/>
  <c r="I14" i="23" l="1"/>
  <c r="I73" i="23"/>
  <c r="I71" i="23" s="1"/>
  <c r="I67" i="23" s="1"/>
  <c r="I51" i="23"/>
  <c r="I108" i="23"/>
  <c r="I106" i="23" s="1"/>
  <c r="I103" i="23" s="1"/>
  <c r="O91" i="23"/>
  <c r="O96" i="23" s="1"/>
  <c r="O109" i="23" s="1"/>
  <c r="L96" i="23"/>
  <c r="L109" i="23" s="1"/>
  <c r="E96" i="23"/>
  <c r="E109" i="23" s="1"/>
  <c r="S109" i="23"/>
  <c r="G96" i="23"/>
  <c r="G109" i="23" s="1"/>
  <c r="L95" i="23"/>
  <c r="K96" i="23"/>
  <c r="K109" i="23" s="1"/>
  <c r="H96" i="23"/>
  <c r="D96" i="23"/>
  <c r="D109" i="23" s="1"/>
  <c r="F91" i="23"/>
  <c r="I75" i="23" l="1"/>
  <c r="I99" i="23"/>
  <c r="I111" i="23"/>
  <c r="F96" i="23"/>
  <c r="N96" i="23" s="1"/>
  <c r="H109" i="23"/>
  <c r="F109" i="23" s="1"/>
  <c r="M109" i="23" s="1"/>
  <c r="Q91" i="23"/>
  <c r="R91" i="23"/>
  <c r="M91" i="23"/>
  <c r="T91" i="23"/>
  <c r="N91" i="23"/>
  <c r="P91" i="23"/>
  <c r="P96" i="23" l="1"/>
  <c r="Q96" i="23"/>
  <c r="R96" i="23"/>
  <c r="M96" i="23"/>
  <c r="T96" i="23"/>
  <c r="P109" i="23"/>
  <c r="T109" i="23"/>
  <c r="N109" i="23"/>
  <c r="Q109" i="23"/>
  <c r="R109" i="23"/>
  <c r="O65" i="23" l="1"/>
  <c r="F65" i="23"/>
  <c r="M65" i="23" s="1"/>
  <c r="F66" i="23"/>
  <c r="O66" i="23"/>
  <c r="E47" i="23"/>
  <c r="O47" i="23" s="1"/>
  <c r="E31" i="23"/>
  <c r="O31" i="23" s="1"/>
  <c r="E19" i="23"/>
  <c r="O19" i="23" s="1"/>
  <c r="E8" i="23"/>
  <c r="O8" i="23" s="1"/>
  <c r="E59" i="23"/>
  <c r="E73" i="23" s="1"/>
  <c r="F52" i="23"/>
  <c r="U52" i="23" s="1"/>
  <c r="F53" i="23"/>
  <c r="H104" i="23"/>
  <c r="H95" i="23"/>
  <c r="H94" i="23"/>
  <c r="H83" i="23"/>
  <c r="H77" i="23"/>
  <c r="H88" i="23" s="1"/>
  <c r="H72" i="23"/>
  <c r="H70" i="23"/>
  <c r="H105" i="23" s="1"/>
  <c r="H59" i="23"/>
  <c r="H73" i="23" s="1"/>
  <c r="H37" i="23"/>
  <c r="H22" i="23"/>
  <c r="H18" i="23"/>
  <c r="H15" i="23"/>
  <c r="H9" i="23"/>
  <c r="S69" i="23"/>
  <c r="T57" i="23"/>
  <c r="A53" i="23"/>
  <c r="A54" i="23" s="1"/>
  <c r="A55" i="23" s="1"/>
  <c r="A56" i="23" s="1"/>
  <c r="A57" i="23" s="1"/>
  <c r="A58" i="23" s="1"/>
  <c r="A59" i="23" s="1"/>
  <c r="H14" i="23" l="1"/>
  <c r="H51" i="23" s="1"/>
  <c r="P52" i="23"/>
  <c r="H93" i="23"/>
  <c r="H92" i="23" s="1"/>
  <c r="H97" i="23" s="1"/>
  <c r="P66" i="23"/>
  <c r="H71" i="23"/>
  <c r="H67" i="23" s="1"/>
  <c r="T66" i="23"/>
  <c r="R66" i="23"/>
  <c r="N66" i="23"/>
  <c r="Q66" i="23"/>
  <c r="M66" i="23"/>
  <c r="M52" i="23"/>
  <c r="R65" i="23"/>
  <c r="Q65" i="23"/>
  <c r="T65" i="23"/>
  <c r="P65" i="23"/>
  <c r="N65" i="23"/>
  <c r="H107" i="23"/>
  <c r="T52" i="23"/>
  <c r="H108" i="23"/>
  <c r="H75" i="23" l="1"/>
  <c r="H106" i="23"/>
  <c r="H103" i="23" s="1"/>
  <c r="H99" i="23"/>
  <c r="H111" i="23" l="1"/>
  <c r="D70" i="23"/>
  <c r="K95" i="23"/>
  <c r="G95" i="23"/>
  <c r="O90" i="23"/>
  <c r="O95" i="23" s="1"/>
  <c r="F80" i="23"/>
  <c r="M80" i="23" s="1"/>
  <c r="A81" i="23"/>
  <c r="K70" i="23"/>
  <c r="K105" i="23" s="1"/>
  <c r="L70" i="23"/>
  <c r="K72" i="23"/>
  <c r="G72" i="23"/>
  <c r="G70" i="23"/>
  <c r="K104" i="23"/>
  <c r="K94" i="23"/>
  <c r="K83" i="23"/>
  <c r="K77" i="23"/>
  <c r="K88" i="23" s="1"/>
  <c r="K59" i="23"/>
  <c r="K73" i="23" s="1"/>
  <c r="O54" i="23"/>
  <c r="O70" i="23" s="1"/>
  <c r="K37" i="23"/>
  <c r="K22" i="23"/>
  <c r="K18" i="23"/>
  <c r="K15" i="23"/>
  <c r="K9" i="23"/>
  <c r="K93" i="23" l="1"/>
  <c r="K92" i="23" s="1"/>
  <c r="K97" i="23" s="1"/>
  <c r="P80" i="23"/>
  <c r="T80" i="23"/>
  <c r="K108" i="23"/>
  <c r="K107" i="23"/>
  <c r="K71" i="23"/>
  <c r="K67" i="23" s="1"/>
  <c r="K14" i="23"/>
  <c r="K51" i="23" s="1"/>
  <c r="K99" i="23" l="1"/>
  <c r="K106" i="23"/>
  <c r="K103" i="23" s="1"/>
  <c r="F102" i="23"/>
  <c r="F101" i="23"/>
  <c r="F95" i="23"/>
  <c r="F90" i="23"/>
  <c r="T90" i="23" s="1"/>
  <c r="F89" i="23"/>
  <c r="U89" i="23" s="1"/>
  <c r="F87" i="23"/>
  <c r="F86" i="23"/>
  <c r="F85" i="23"/>
  <c r="F84" i="23"/>
  <c r="F82" i="23"/>
  <c r="F81" i="23"/>
  <c r="F79" i="23"/>
  <c r="F78" i="23"/>
  <c r="F72" i="23"/>
  <c r="F70" i="23"/>
  <c r="F69" i="23"/>
  <c r="T69" i="23" s="1"/>
  <c r="F64" i="23"/>
  <c r="F62" i="23"/>
  <c r="U62" i="23" s="1"/>
  <c r="F61" i="23"/>
  <c r="U61" i="23" s="1"/>
  <c r="F60" i="23"/>
  <c r="U60" i="23" s="1"/>
  <c r="F56" i="23"/>
  <c r="F55" i="23"/>
  <c r="F54" i="23"/>
  <c r="F50" i="23"/>
  <c r="F49" i="23"/>
  <c r="F48" i="23"/>
  <c r="F47" i="23"/>
  <c r="F46" i="23"/>
  <c r="F45" i="23"/>
  <c r="F44" i="23"/>
  <c r="F43" i="23"/>
  <c r="F41" i="23"/>
  <c r="F40" i="23"/>
  <c r="F39" i="23"/>
  <c r="F38" i="23"/>
  <c r="F36" i="23"/>
  <c r="F35" i="23"/>
  <c r="F34" i="23"/>
  <c r="F33" i="23"/>
  <c r="N33" i="23" s="1"/>
  <c r="F32" i="23"/>
  <c r="F31" i="23"/>
  <c r="N31" i="23" s="1"/>
  <c r="F30" i="23"/>
  <c r="N30" i="23" s="1"/>
  <c r="F29" i="23"/>
  <c r="F28" i="23"/>
  <c r="F27" i="23"/>
  <c r="F26" i="23"/>
  <c r="F25" i="23"/>
  <c r="F24" i="23"/>
  <c r="F23" i="23"/>
  <c r="F21" i="23"/>
  <c r="U21" i="23" s="1"/>
  <c r="F20" i="23"/>
  <c r="F19" i="23"/>
  <c r="F17" i="23"/>
  <c r="F16" i="23"/>
  <c r="F13" i="23"/>
  <c r="N13" i="23" s="1"/>
  <c r="F12" i="23"/>
  <c r="F11" i="23"/>
  <c r="F10" i="23"/>
  <c r="N10" i="23" s="1"/>
  <c r="F8" i="23"/>
  <c r="U8" i="23" s="1"/>
  <c r="F7" i="23"/>
  <c r="E95" i="23"/>
  <c r="A90" i="23"/>
  <c r="E70" i="23"/>
  <c r="N82" i="23" l="1"/>
  <c r="R82" i="23"/>
  <c r="N85" i="23"/>
  <c r="U85" i="23"/>
  <c r="Q84" i="23"/>
  <c r="R84" i="23"/>
  <c r="N84" i="23"/>
  <c r="P56" i="23"/>
  <c r="M56" i="23"/>
  <c r="T54" i="23"/>
  <c r="R54" i="23"/>
  <c r="K75" i="23"/>
  <c r="U29" i="23"/>
  <c r="N29" i="23"/>
  <c r="Q90" i="23"/>
  <c r="R90" i="23"/>
  <c r="N90" i="23"/>
  <c r="M90" i="23"/>
  <c r="P90" i="23"/>
  <c r="Q95" i="23"/>
  <c r="R95" i="23"/>
  <c r="N95" i="23"/>
  <c r="K111" i="23"/>
  <c r="T70" i="23"/>
  <c r="M70" i="23"/>
  <c r="N70" i="23"/>
  <c r="R70" i="23"/>
  <c r="Q70" i="23"/>
  <c r="N11" i="23"/>
  <c r="U11" i="23"/>
  <c r="N64" i="23"/>
  <c r="N54" i="23"/>
  <c r="M54" i="23"/>
  <c r="P54" i="23"/>
  <c r="Q54" i="23"/>
  <c r="T21" i="23" l="1"/>
  <c r="S105" i="23"/>
  <c r="O105" i="23"/>
  <c r="L105" i="23"/>
  <c r="G105" i="23"/>
  <c r="F105" i="23" s="1"/>
  <c r="E105" i="23"/>
  <c r="D105" i="23"/>
  <c r="S104" i="23"/>
  <c r="O104" i="23"/>
  <c r="L104" i="23"/>
  <c r="G104" i="23"/>
  <c r="E104" i="23"/>
  <c r="D104" i="23"/>
  <c r="T95" i="23"/>
  <c r="S94" i="23"/>
  <c r="S93" i="23" s="1"/>
  <c r="S92" i="23" s="1"/>
  <c r="L94" i="23"/>
  <c r="L93" i="23" s="1"/>
  <c r="L92" i="23" s="1"/>
  <c r="G94" i="23"/>
  <c r="E94" i="23"/>
  <c r="E93" i="23" s="1"/>
  <c r="E92" i="23" s="1"/>
  <c r="D94" i="23"/>
  <c r="D93" i="23" s="1"/>
  <c r="D92" i="23" s="1"/>
  <c r="O89" i="23"/>
  <c r="O94" i="23" s="1"/>
  <c r="O93" i="23" s="1"/>
  <c r="O92" i="23" s="1"/>
  <c r="R89" i="23"/>
  <c r="U87" i="23"/>
  <c r="M85" i="23"/>
  <c r="M84" i="23"/>
  <c r="S83" i="23"/>
  <c r="L83" i="23"/>
  <c r="G83" i="23"/>
  <c r="F83" i="23" s="1"/>
  <c r="E83" i="23"/>
  <c r="D83" i="23"/>
  <c r="T82" i="23"/>
  <c r="A82" i="23"/>
  <c r="A83" i="23" s="1"/>
  <c r="M81" i="23"/>
  <c r="T79" i="23"/>
  <c r="O77" i="23"/>
  <c r="O88" i="23" s="1"/>
  <c r="R78" i="23"/>
  <c r="S77" i="23"/>
  <c r="S88" i="23" s="1"/>
  <c r="L77" i="23"/>
  <c r="L88" i="23" s="1"/>
  <c r="G77" i="23"/>
  <c r="G88" i="23" s="1"/>
  <c r="E77" i="23"/>
  <c r="E88" i="23" s="1"/>
  <c r="O125" i="23" s="1"/>
  <c r="D77" i="23"/>
  <c r="S72" i="23"/>
  <c r="E72" i="23"/>
  <c r="D72" i="23"/>
  <c r="P70" i="23"/>
  <c r="P69" i="23"/>
  <c r="O64" i="23"/>
  <c r="Q64" i="23" s="1"/>
  <c r="R64" i="23"/>
  <c r="O62" i="23"/>
  <c r="O61" i="23"/>
  <c r="R61" i="23"/>
  <c r="O60" i="23"/>
  <c r="T60" i="23"/>
  <c r="S59" i="23"/>
  <c r="S73" i="23" s="1"/>
  <c r="L59" i="23"/>
  <c r="L73" i="23" s="1"/>
  <c r="G59" i="23"/>
  <c r="G73" i="23" s="1"/>
  <c r="D59" i="23"/>
  <c r="D73" i="23" s="1"/>
  <c r="D108" i="23" s="1"/>
  <c r="O55" i="23"/>
  <c r="R55" i="23"/>
  <c r="O53" i="23"/>
  <c r="O72" i="23" s="1"/>
  <c r="R53" i="23"/>
  <c r="Z51" i="23"/>
  <c r="R50" i="23"/>
  <c r="T49" i="23"/>
  <c r="R48" i="23"/>
  <c r="T46" i="23"/>
  <c r="R44" i="23"/>
  <c r="A44" i="23"/>
  <c r="A45" i="23" s="1"/>
  <c r="A46" i="23" s="1"/>
  <c r="A47" i="23" s="1"/>
  <c r="A48" i="23" s="1"/>
  <c r="A49" i="23" s="1"/>
  <c r="A50" i="23" s="1"/>
  <c r="T43" i="23"/>
  <c r="T40" i="23"/>
  <c r="N39" i="23"/>
  <c r="S37" i="23"/>
  <c r="L37" i="23"/>
  <c r="G37" i="23"/>
  <c r="F37" i="23" s="1"/>
  <c r="E37" i="23"/>
  <c r="O37" i="23" s="1"/>
  <c r="D37" i="23"/>
  <c r="R36" i="23"/>
  <c r="U33" i="23"/>
  <c r="R32" i="23"/>
  <c r="T31" i="23"/>
  <c r="T30" i="23"/>
  <c r="M29" i="23"/>
  <c r="A29" i="23"/>
  <c r="A30" i="23" s="1"/>
  <c r="A31" i="23" s="1"/>
  <c r="A32" i="23" s="1"/>
  <c r="A33" i="23" s="1"/>
  <c r="A34" i="23" s="1"/>
  <c r="A35" i="23" s="1"/>
  <c r="A36" i="23" s="1"/>
  <c r="A37" i="23" s="1"/>
  <c r="R27" i="23"/>
  <c r="R26" i="23"/>
  <c r="E25" i="23"/>
  <c r="O25" i="23" s="1"/>
  <c r="D25" i="23"/>
  <c r="T24" i="23"/>
  <c r="E24" i="23"/>
  <c r="O24" i="23" s="1"/>
  <c r="D24" i="23"/>
  <c r="T23" i="23"/>
  <c r="E23" i="23"/>
  <c r="O23" i="23" s="1"/>
  <c r="D23" i="23"/>
  <c r="V22" i="23"/>
  <c r="S22" i="23"/>
  <c r="L22" i="23"/>
  <c r="G22" i="23"/>
  <c r="F22" i="23" s="1"/>
  <c r="T19" i="23"/>
  <c r="S18" i="23"/>
  <c r="L18" i="23"/>
  <c r="G18" i="23"/>
  <c r="F18" i="23" s="1"/>
  <c r="E18" i="23"/>
  <c r="O18" i="23" s="1"/>
  <c r="D18" i="23"/>
  <c r="R17" i="23"/>
  <c r="V16" i="23"/>
  <c r="N16" i="23"/>
  <c r="S15" i="23"/>
  <c r="L15" i="23"/>
  <c r="G15" i="23"/>
  <c r="F15" i="23" s="1"/>
  <c r="E15" i="23"/>
  <c r="O15" i="23" s="1"/>
  <c r="D15" i="23"/>
  <c r="R11" i="23"/>
  <c r="M10" i="23"/>
  <c r="S9" i="23"/>
  <c r="L9" i="23"/>
  <c r="G9" i="23"/>
  <c r="F9" i="23" s="1"/>
  <c r="E9" i="23"/>
  <c r="O9" i="23" s="1"/>
  <c r="D9" i="23"/>
  <c r="X8" i="23"/>
  <c r="Y8" i="23" s="1"/>
  <c r="A8" i="23"/>
  <c r="Y7" i="23"/>
  <c r="X7" i="23"/>
  <c r="C5" i="23"/>
  <c r="D5" i="23" s="1"/>
  <c r="E5" i="23" s="1"/>
  <c r="F5" i="23" s="1"/>
  <c r="G5" i="23" s="1"/>
  <c r="H5" i="23" s="1"/>
  <c r="I5" i="23" s="1"/>
  <c r="D88" i="23" l="1"/>
  <c r="D97" i="23" s="1"/>
  <c r="M5" i="23"/>
  <c r="N5" i="23" s="1"/>
  <c r="O5" i="23" s="1"/>
  <c r="P5" i="23" s="1"/>
  <c r="Q5" i="23" s="1"/>
  <c r="J5" i="23"/>
  <c r="K5" i="23" s="1"/>
  <c r="F104" i="23"/>
  <c r="M104" i="23" s="1"/>
  <c r="O97" i="23"/>
  <c r="L97" i="23"/>
  <c r="R105" i="23"/>
  <c r="Q105" i="23"/>
  <c r="N105" i="23"/>
  <c r="E97" i="23"/>
  <c r="G93" i="23"/>
  <c r="G92" i="23" s="1"/>
  <c r="G97" i="23" s="1"/>
  <c r="F97" i="23" s="1"/>
  <c r="F94" i="23"/>
  <c r="G108" i="23"/>
  <c r="F108" i="23" s="1"/>
  <c r="F59" i="23"/>
  <c r="T59" i="23" s="1"/>
  <c r="E107" i="23"/>
  <c r="F77" i="23"/>
  <c r="P77" i="23" s="1"/>
  <c r="S108" i="23"/>
  <c r="L71" i="23"/>
  <c r="L67" i="23" s="1"/>
  <c r="M21" i="23"/>
  <c r="E108" i="23"/>
  <c r="R35" i="23"/>
  <c r="U35" i="23"/>
  <c r="P21" i="23"/>
  <c r="P34" i="23"/>
  <c r="P45" i="23"/>
  <c r="P46" i="23"/>
  <c r="R46" i="23"/>
  <c r="Q48" i="23"/>
  <c r="T50" i="23"/>
  <c r="D107" i="23"/>
  <c r="D106" i="23" s="1"/>
  <c r="D103" i="23" s="1"/>
  <c r="T48" i="23"/>
  <c r="M18" i="23"/>
  <c r="Q38" i="23"/>
  <c r="P41" i="23"/>
  <c r="Q86" i="23"/>
  <c r="Q12" i="23"/>
  <c r="Q23" i="23"/>
  <c r="Q25" i="23"/>
  <c r="N48" i="23"/>
  <c r="P50" i="23"/>
  <c r="P47" i="23"/>
  <c r="O107" i="23"/>
  <c r="L14" i="23"/>
  <c r="L51" i="23" s="1"/>
  <c r="T32" i="23"/>
  <c r="P33" i="23"/>
  <c r="T29" i="23"/>
  <c r="M32" i="23"/>
  <c r="R33" i="23"/>
  <c r="T39" i="23"/>
  <c r="N53" i="23"/>
  <c r="P61" i="23"/>
  <c r="T81" i="23"/>
  <c r="R29" i="23"/>
  <c r="R39" i="23"/>
  <c r="Q7" i="23"/>
  <c r="S14" i="23"/>
  <c r="S51" i="23" s="1"/>
  <c r="N32" i="23"/>
  <c r="Q61" i="23"/>
  <c r="P81" i="23"/>
  <c r="N9" i="23"/>
  <c r="Q11" i="23"/>
  <c r="Q32" i="23"/>
  <c r="U53" i="23"/>
  <c r="P82" i="23"/>
  <c r="Q8" i="23"/>
  <c r="P13" i="23"/>
  <c r="D14" i="23"/>
  <c r="W22" i="23"/>
  <c r="U23" i="23"/>
  <c r="R30" i="23"/>
  <c r="M46" i="23"/>
  <c r="M48" i="23"/>
  <c r="T85" i="23"/>
  <c r="P95" i="23"/>
  <c r="N17" i="23"/>
  <c r="P20" i="23"/>
  <c r="R25" i="23"/>
  <c r="M31" i="23"/>
  <c r="N43" i="23"/>
  <c r="Q17" i="23"/>
  <c r="X25" i="23"/>
  <c r="Q31" i="23"/>
  <c r="Q43" i="23"/>
  <c r="R86" i="23"/>
  <c r="T89" i="23"/>
  <c r="R16" i="23"/>
  <c r="T17" i="23"/>
  <c r="N24" i="23"/>
  <c r="R31" i="23"/>
  <c r="U43" i="23"/>
  <c r="R12" i="23"/>
  <c r="G14" i="23"/>
  <c r="T16" i="23"/>
  <c r="U17" i="23"/>
  <c r="T18" i="23"/>
  <c r="U24" i="23"/>
  <c r="Q30" i="23"/>
  <c r="U32" i="23"/>
  <c r="V32" i="23" s="1"/>
  <c r="G107" i="23"/>
  <c r="F107" i="23" s="1"/>
  <c r="Q85" i="23"/>
  <c r="M95" i="23"/>
  <c r="Q37" i="23"/>
  <c r="N37" i="23"/>
  <c r="U37" i="23"/>
  <c r="N27" i="23"/>
  <c r="N19" i="23"/>
  <c r="R23" i="23"/>
  <c r="P26" i="23"/>
  <c r="P48" i="23"/>
  <c r="Q53" i="23"/>
  <c r="T55" i="23"/>
  <c r="O83" i="23"/>
  <c r="Q83" i="23" s="1"/>
  <c r="T10" i="23"/>
  <c r="T13" i="23"/>
  <c r="N18" i="23"/>
  <c r="Q19" i="23"/>
  <c r="M23" i="23"/>
  <c r="E22" i="23"/>
  <c r="O22" i="23" s="1"/>
  <c r="Q26" i="23"/>
  <c r="P27" i="23"/>
  <c r="R41" i="23"/>
  <c r="P11" i="23"/>
  <c r="U13" i="23"/>
  <c r="M17" i="23"/>
  <c r="R18" i="23"/>
  <c r="U19" i="23"/>
  <c r="N23" i="23"/>
  <c r="T27" i="23"/>
  <c r="P29" i="23"/>
  <c r="M30" i="23"/>
  <c r="P31" i="23"/>
  <c r="Q34" i="23"/>
  <c r="T35" i="23"/>
  <c r="U40" i="23"/>
  <c r="P44" i="23"/>
  <c r="U48" i="23"/>
  <c r="O59" i="23"/>
  <c r="M72" i="23"/>
  <c r="T83" i="23"/>
  <c r="S97" i="23"/>
  <c r="N89" i="23"/>
  <c r="P105" i="23"/>
  <c r="U18" i="23"/>
  <c r="M27" i="23"/>
  <c r="X27" i="23"/>
  <c r="P30" i="23"/>
  <c r="Q33" i="23"/>
  <c r="M35" i="23"/>
  <c r="N41" i="23"/>
  <c r="P49" i="23"/>
  <c r="Q89" i="23"/>
  <c r="R20" i="23"/>
  <c r="N35" i="23"/>
  <c r="T36" i="23"/>
  <c r="R38" i="23"/>
  <c r="Q49" i="23"/>
  <c r="P53" i="23"/>
  <c r="E71" i="23"/>
  <c r="E67" i="23" s="1"/>
  <c r="E14" i="23"/>
  <c r="O14" i="23" s="1"/>
  <c r="U27" i="23"/>
  <c r="M13" i="23"/>
  <c r="N40" i="23"/>
  <c r="P43" i="23"/>
  <c r="P10" i="23"/>
  <c r="Q27" i="23"/>
  <c r="Q35" i="23"/>
  <c r="Q41" i="23"/>
  <c r="R49" i="23"/>
  <c r="R8" i="23"/>
  <c r="U30" i="23"/>
  <c r="P35" i="23"/>
  <c r="M39" i="23"/>
  <c r="Q40" i="23"/>
  <c r="Q45" i="23"/>
  <c r="N61" i="23"/>
  <c r="P79" i="23"/>
  <c r="M89" i="23"/>
  <c r="T8" i="23"/>
  <c r="T20" i="23"/>
  <c r="U28" i="23"/>
  <c r="V28" i="23" s="1"/>
  <c r="N28" i="23"/>
  <c r="T28" i="23"/>
  <c r="M28" i="23"/>
  <c r="T38" i="23"/>
  <c r="P40" i="23"/>
  <c r="T44" i="23"/>
  <c r="U47" i="23"/>
  <c r="N8" i="23"/>
  <c r="M9" i="23"/>
  <c r="U12" i="23"/>
  <c r="N12" i="23"/>
  <c r="T12" i="23"/>
  <c r="M12" i="23"/>
  <c r="T34" i="23"/>
  <c r="P36" i="23"/>
  <c r="T45" i="23"/>
  <c r="U55" i="23"/>
  <c r="N55" i="23"/>
  <c r="Q55" i="23"/>
  <c r="P55" i="23"/>
  <c r="R60" i="23"/>
  <c r="L107" i="23"/>
  <c r="M7" i="23"/>
  <c r="T7" i="23"/>
  <c r="M11" i="23"/>
  <c r="Q16" i="23"/>
  <c r="W16" i="23"/>
  <c r="P16" i="23"/>
  <c r="U16" i="23"/>
  <c r="P17" i="23"/>
  <c r="P19" i="23"/>
  <c r="U26" i="23"/>
  <c r="N26" i="23"/>
  <c r="T26" i="23"/>
  <c r="Q28" i="23"/>
  <c r="P32" i="23"/>
  <c r="M34" i="23"/>
  <c r="U34" i="23"/>
  <c r="Q36" i="23"/>
  <c r="P38" i="23"/>
  <c r="T41" i="23"/>
  <c r="M45" i="23"/>
  <c r="U45" i="23"/>
  <c r="Q47" i="23"/>
  <c r="M55" i="23"/>
  <c r="P62" i="23"/>
  <c r="T62" i="23"/>
  <c r="M62" i="23"/>
  <c r="Q62" i="23"/>
  <c r="R62" i="23"/>
  <c r="U9" i="23"/>
  <c r="T9" i="23"/>
  <c r="U44" i="23"/>
  <c r="V44" i="23" s="1"/>
  <c r="N44" i="23"/>
  <c r="T64" i="23"/>
  <c r="P64" i="23"/>
  <c r="R7" i="23"/>
  <c r="R10" i="23"/>
  <c r="Q10" i="23"/>
  <c r="Q18" i="23"/>
  <c r="N20" i="23"/>
  <c r="T22" i="23"/>
  <c r="N22" i="23"/>
  <c r="M22" i="23"/>
  <c r="U25" i="23"/>
  <c r="V25" i="23" s="1"/>
  <c r="N25" i="23"/>
  <c r="T25" i="23"/>
  <c r="M25" i="23"/>
  <c r="P28" i="23"/>
  <c r="M37" i="23"/>
  <c r="R37" i="23"/>
  <c r="Q46" i="23"/>
  <c r="N7" i="23"/>
  <c r="U7" i="23"/>
  <c r="P8" i="23"/>
  <c r="P12" i="23"/>
  <c r="M16" i="23"/>
  <c r="Q20" i="23"/>
  <c r="U22" i="23"/>
  <c r="P25" i="23"/>
  <c r="M26" i="23"/>
  <c r="R28" i="23"/>
  <c r="Q29" i="23"/>
  <c r="U31" i="23"/>
  <c r="N34" i="23"/>
  <c r="T37" i="23"/>
  <c r="M41" i="23"/>
  <c r="U41" i="23"/>
  <c r="Q44" i="23"/>
  <c r="N45" i="23"/>
  <c r="R47" i="23"/>
  <c r="N62" i="23"/>
  <c r="D71" i="23"/>
  <c r="D67" i="23" s="1"/>
  <c r="S107" i="23"/>
  <c r="S71" i="23"/>
  <c r="S67" i="23" s="1"/>
  <c r="T78" i="23"/>
  <c r="M78" i="23"/>
  <c r="P78" i="23"/>
  <c r="U78" i="23"/>
  <c r="N78" i="23"/>
  <c r="Q78" i="23"/>
  <c r="M101" i="23"/>
  <c r="U101" i="23"/>
  <c r="P101" i="23"/>
  <c r="T101" i="23"/>
  <c r="U36" i="23"/>
  <c r="N36" i="23"/>
  <c r="T47" i="23"/>
  <c r="N60" i="23"/>
  <c r="Q60" i="23"/>
  <c r="M60" i="23"/>
  <c r="R83" i="23"/>
  <c r="U83" i="23"/>
  <c r="M83" i="23"/>
  <c r="U84" i="23"/>
  <c r="P84" i="23"/>
  <c r="T84" i="23"/>
  <c r="P87" i="23"/>
  <c r="T87" i="23"/>
  <c r="M87" i="23"/>
  <c r="Q87" i="23"/>
  <c r="R87" i="23"/>
  <c r="M36" i="23"/>
  <c r="M47" i="23"/>
  <c r="P72" i="23"/>
  <c r="N87" i="23"/>
  <c r="M105" i="23"/>
  <c r="T105" i="23"/>
  <c r="P7" i="23"/>
  <c r="R9" i="23"/>
  <c r="U38" i="23"/>
  <c r="V38" i="23" s="1"/>
  <c r="N38" i="23"/>
  <c r="M8" i="23"/>
  <c r="U10" i="23"/>
  <c r="T11" i="23"/>
  <c r="R13" i="23"/>
  <c r="Q13" i="23"/>
  <c r="M20" i="23"/>
  <c r="U20" i="23"/>
  <c r="D22" i="23"/>
  <c r="D51" i="23" s="1"/>
  <c r="P23" i="23"/>
  <c r="R34" i="23"/>
  <c r="P37" i="23"/>
  <c r="M38" i="23"/>
  <c r="Q39" i="23"/>
  <c r="P39" i="23"/>
  <c r="U39" i="23"/>
  <c r="V39" i="23" s="1"/>
  <c r="M44" i="23"/>
  <c r="R45" i="23"/>
  <c r="N47" i="23"/>
  <c r="T56" i="23"/>
  <c r="U56" i="23"/>
  <c r="P60" i="23"/>
  <c r="M64" i="23"/>
  <c r="U79" i="23"/>
  <c r="M79" i="23"/>
  <c r="N83" i="23"/>
  <c r="P18" i="23"/>
  <c r="R19" i="23"/>
  <c r="R24" i="23"/>
  <c r="T33" i="23"/>
  <c r="R40" i="23"/>
  <c r="R43" i="23"/>
  <c r="M50" i="23"/>
  <c r="Q50" i="23"/>
  <c r="Q81" i="23"/>
  <c r="U82" i="23"/>
  <c r="M82" i="23"/>
  <c r="Q82" i="23"/>
  <c r="T86" i="23"/>
  <c r="M86" i="23"/>
  <c r="P86" i="23"/>
  <c r="U86" i="23"/>
  <c r="N86" i="23"/>
  <c r="Q9" i="23"/>
  <c r="M19" i="23"/>
  <c r="M24" i="23"/>
  <c r="M33" i="23"/>
  <c r="M40" i="23"/>
  <c r="M43" i="23"/>
  <c r="R85" i="23"/>
  <c r="P85" i="23"/>
  <c r="M49" i="23"/>
  <c r="M53" i="23"/>
  <c r="T53" i="23"/>
  <c r="M61" i="23"/>
  <c r="T61" i="23"/>
  <c r="R81" i="23"/>
  <c r="P89" i="23"/>
  <c r="N81" i="23"/>
  <c r="U81" i="23"/>
  <c r="Q94" i="23" l="1"/>
  <c r="U94" i="23"/>
  <c r="P104" i="23"/>
  <c r="T104" i="23"/>
  <c r="O73" i="23"/>
  <c r="O71" i="23" s="1"/>
  <c r="O67" i="23" s="1"/>
  <c r="L75" i="23"/>
  <c r="F88" i="23"/>
  <c r="T88" i="23" s="1"/>
  <c r="R94" i="23"/>
  <c r="U77" i="23"/>
  <c r="R77" i="23"/>
  <c r="N77" i="23"/>
  <c r="S106" i="23"/>
  <c r="S103" i="23" s="1"/>
  <c r="U59" i="23"/>
  <c r="P22" i="23"/>
  <c r="G71" i="23"/>
  <c r="F71" i="23" s="1"/>
  <c r="F73" i="23"/>
  <c r="N73" i="23" s="1"/>
  <c r="E106" i="23"/>
  <c r="E103" i="23" s="1"/>
  <c r="F92" i="23"/>
  <c r="F93" i="23"/>
  <c r="S5" i="23"/>
  <c r="T5" i="23" s="1"/>
  <c r="U5" i="23" s="1"/>
  <c r="Q77" i="23"/>
  <c r="F14" i="23"/>
  <c r="T14" i="23" s="1"/>
  <c r="L108" i="23"/>
  <c r="L106" i="23" s="1"/>
  <c r="L103" i="23" s="1"/>
  <c r="P83" i="23"/>
  <c r="R59" i="23"/>
  <c r="N59" i="23"/>
  <c r="X49" i="23"/>
  <c r="M59" i="23"/>
  <c r="T77" i="23"/>
  <c r="M77" i="23"/>
  <c r="G51" i="23"/>
  <c r="P9" i="23"/>
  <c r="W51" i="23"/>
  <c r="R22" i="23"/>
  <c r="P94" i="23"/>
  <c r="M94" i="23"/>
  <c r="N94" i="23"/>
  <c r="O51" i="23"/>
  <c r="Q22" i="23"/>
  <c r="T94" i="23"/>
  <c r="Q59" i="23"/>
  <c r="P59" i="23"/>
  <c r="Q72" i="23"/>
  <c r="L99" i="23"/>
  <c r="N72" i="23"/>
  <c r="S99" i="23"/>
  <c r="E51" i="23"/>
  <c r="O123" i="23" s="1"/>
  <c r="T72" i="23"/>
  <c r="R72" i="23"/>
  <c r="U72" i="23"/>
  <c r="D99" i="23"/>
  <c r="P107" i="23"/>
  <c r="M107" i="23"/>
  <c r="Q107" i="23"/>
  <c r="R107" i="23"/>
  <c r="U107" i="23"/>
  <c r="T107" i="23"/>
  <c r="N107" i="23"/>
  <c r="T108" i="23"/>
  <c r="U108" i="23"/>
  <c r="R108" i="23"/>
  <c r="Q24" i="23"/>
  <c r="P24" i="23"/>
  <c r="S75" i="23"/>
  <c r="G106" i="23"/>
  <c r="G103" i="23" s="1"/>
  <c r="U15" i="23"/>
  <c r="T15" i="23"/>
  <c r="N15" i="23"/>
  <c r="R15" i="23"/>
  <c r="M15" i="23"/>
  <c r="P15" i="23"/>
  <c r="Q15" i="23"/>
  <c r="D75" i="23"/>
  <c r="O127" i="23"/>
  <c r="O126" i="23"/>
  <c r="O108" i="23" l="1"/>
  <c r="O106" i="23" s="1"/>
  <c r="O103" i="23" s="1"/>
  <c r="T92" i="23"/>
  <c r="U92" i="23"/>
  <c r="T93" i="23"/>
  <c r="U93" i="23"/>
  <c r="F106" i="23"/>
  <c r="U88" i="23"/>
  <c r="N88" i="23"/>
  <c r="Q88" i="23"/>
  <c r="P88" i="23"/>
  <c r="N97" i="23"/>
  <c r="G67" i="23"/>
  <c r="F67" i="23" s="1"/>
  <c r="M88" i="23"/>
  <c r="Q93" i="23"/>
  <c r="R88" i="23"/>
  <c r="P93" i="23"/>
  <c r="S111" i="23"/>
  <c r="W111" i="23" s="1"/>
  <c r="M93" i="23"/>
  <c r="R93" i="23"/>
  <c r="P92" i="23"/>
  <c r="N93" i="23"/>
  <c r="P73" i="23"/>
  <c r="M73" i="23"/>
  <c r="Q73" i="23"/>
  <c r="P14" i="23"/>
  <c r="N108" i="23"/>
  <c r="M92" i="23"/>
  <c r="R92" i="23"/>
  <c r="R73" i="23"/>
  <c r="U73" i="23"/>
  <c r="T73" i="23"/>
  <c r="Q92" i="23"/>
  <c r="N92" i="23"/>
  <c r="U14" i="23"/>
  <c r="Q14" i="23"/>
  <c r="E75" i="23"/>
  <c r="N14" i="23"/>
  <c r="R14" i="23"/>
  <c r="M14" i="23"/>
  <c r="F51" i="23"/>
  <c r="M108" i="23"/>
  <c r="D111" i="23"/>
  <c r="L111" i="23"/>
  <c r="L120" i="23" s="1"/>
  <c r="G99" i="23"/>
  <c r="F99" i="23" s="1"/>
  <c r="W97" i="23"/>
  <c r="O99" i="23"/>
  <c r="O75" i="23"/>
  <c r="O128" i="23"/>
  <c r="O124" i="23"/>
  <c r="E99" i="23"/>
  <c r="Q108" i="23"/>
  <c r="F103" i="23"/>
  <c r="P71" i="23"/>
  <c r="M71" i="23"/>
  <c r="Q71" i="23"/>
  <c r="N71" i="23"/>
  <c r="R71" i="23"/>
  <c r="T71" i="23"/>
  <c r="U71" i="23"/>
  <c r="W75" i="23"/>
  <c r="P108" i="23"/>
  <c r="M51" i="23" l="1"/>
  <c r="R51" i="23"/>
  <c r="G75" i="23"/>
  <c r="F75" i="23" s="1"/>
  <c r="D120" i="23"/>
  <c r="R97" i="23"/>
  <c r="M97" i="23"/>
  <c r="P97" i="23"/>
  <c r="T97" i="23"/>
  <c r="U97" i="23"/>
  <c r="Q97" i="23"/>
  <c r="P51" i="23"/>
  <c r="U51" i="23"/>
  <c r="W49" i="23"/>
  <c r="Y49" i="23" s="1"/>
  <c r="Q51" i="23"/>
  <c r="N51" i="23"/>
  <c r="T51" i="23"/>
  <c r="E111" i="23"/>
  <c r="E120" i="23" s="1"/>
  <c r="Q99" i="23"/>
  <c r="O111" i="23"/>
  <c r="R99" i="23"/>
  <c r="G111" i="23"/>
  <c r="F111" i="23" s="1"/>
  <c r="P67" i="23"/>
  <c r="M67" i="23"/>
  <c r="Q67" i="23"/>
  <c r="U67" i="23"/>
  <c r="T67" i="23"/>
  <c r="R67" i="23"/>
  <c r="N67" i="23"/>
  <c r="R106" i="23"/>
  <c r="U106" i="23"/>
  <c r="M106" i="23"/>
  <c r="T106" i="23"/>
  <c r="N106" i="23"/>
  <c r="Q106" i="23"/>
  <c r="P106" i="23"/>
  <c r="E122" i="23" l="1"/>
  <c r="M99" i="23"/>
  <c r="T99" i="23"/>
  <c r="N99" i="23"/>
  <c r="U99" i="23"/>
  <c r="P99" i="23"/>
  <c r="T111" i="23"/>
  <c r="P75" i="23"/>
  <c r="M75" i="23"/>
  <c r="Q75" i="23"/>
  <c r="N75" i="23"/>
  <c r="R75" i="23"/>
  <c r="U75" i="23"/>
  <c r="T75" i="23"/>
  <c r="P103" i="23"/>
  <c r="M103" i="23"/>
  <c r="Q103" i="23"/>
  <c r="R103" i="23"/>
  <c r="U103" i="23"/>
  <c r="N103" i="23"/>
  <c r="T103" i="23"/>
  <c r="F122" i="23" l="1"/>
  <c r="U111" i="23"/>
  <c r="F120" i="23"/>
  <c r="P111" i="23"/>
  <c r="R111" i="23"/>
  <c r="N111" i="23"/>
  <c r="Q111" i="23"/>
  <c r="M111" i="23"/>
</calcChain>
</file>

<file path=xl/sharedStrings.xml><?xml version="1.0" encoding="utf-8"?>
<sst xmlns="http://schemas.openxmlformats.org/spreadsheetml/2006/main" count="223" uniqueCount="207">
  <si>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</si>
  <si>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</si>
  <si>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</si>
  <si>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</si>
  <si>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</si>
  <si>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</si>
  <si>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</si>
  <si>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</si>
  <si>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</si>
  <si>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</si>
  <si>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</si>
  <si>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</si>
  <si>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</si>
  <si>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</si>
  <si>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</si>
  <si>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</si>
  <si>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</si>
  <si>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</si>
  <si>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</si>
  <si>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</si>
  <si>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</si>
  <si>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</si>
  <si>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</si>
  <si>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</si>
  <si>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</si>
  <si>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</si>
  <si>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</si>
  <si>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</si>
  <si>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</si>
  <si>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</si>
  <si>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</si>
  <si>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</si>
  <si>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</si>
  <si>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</si>
  <si>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</si>
  <si>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</si>
  <si>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</si>
  <si>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</si>
  <si>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</si>
  <si>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</si>
  <si>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</si>
  <si>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</si>
  <si>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</si>
  <si>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</si>
  <si>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</si>
  <si>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</si>
  <si>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</si>
  <si>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</si>
  <si>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</si>
  <si>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</si>
  <si>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</si>
  <si>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</si>
  <si>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</si>
  <si>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</si>
  <si>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</si>
  <si>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</si>
  <si>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</si>
  <si>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</si>
  <si>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</si>
  <si>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</si>
  <si>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</si>
  <si>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</si>
  <si>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</si>
  <si>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</si>
  <si>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</si>
  <si>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</si>
  <si>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</si>
  <si>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</si>
  <si>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</si>
  <si>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</si>
  <si>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</si>
  <si>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</si>
  <si>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</si>
  <si>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</si>
  <si>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</si>
  <si>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</si>
  <si>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</si>
  <si>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</si>
  <si>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</si>
  <si>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</si>
  <si>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</si>
  <si>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</si>
  <si>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</si>
  <si>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</si>
  <si>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</si>
  <si>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</si>
  <si>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</si>
  <si>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</si>
  <si>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</si>
  <si>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</si>
  <si>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</si>
  <si>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</si>
  <si>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</si>
  <si>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</si>
  <si>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</si>
  <si>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</si>
  <si>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</si>
  <si>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</si>
  <si>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</si>
  <si>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</si>
  <si>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</si>
  <si>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</si>
  <si>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</si>
  <si>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</si>
  <si>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</si>
  <si>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</si>
  <si>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</si>
  <si>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</si>
  <si>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</si>
  <si>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</si>
  <si>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</si>
  <si>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</si>
  <si>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</si>
  <si>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</si>
  <si>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</si>
  <si>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</si>
  <si>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</si>
  <si>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</si>
  <si>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</si>
  <si>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</si>
  <si>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</si>
  <si>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</si>
  <si>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</si>
  <si>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</si>
  <si>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</si>
  <si>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</si>
  <si>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</si>
  <si>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</si>
  <si>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</si>
  <si>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</si>
  <si>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</si>
  <si>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</si>
  <si>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</si>
  <si>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</si>
  <si>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</si>
  <si>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</si>
  <si>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</si>
  <si>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</si>
  <si>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</si>
  <si>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</si>
  <si>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</si>
  <si>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</si>
  <si>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</si>
  <si>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</si>
  <si>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</si>
  <si>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</si>
  <si>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</si>
  <si>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</si>
  <si>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</si>
  <si>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</si>
  <si>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</si>
  <si>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</si>
  <si>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Бюджет 
на 2024 рік</t>
  </si>
  <si>
    <t>Уточнений бюджет на 2024 рік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</si>
  <si>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</si>
  <si>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</si>
  <si>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Відхилення факту  2024р. від факту 2023р.</t>
  </si>
  <si>
    <t>5.1.</t>
  </si>
  <si>
    <t>5.2.</t>
  </si>
  <si>
    <t>5.3.</t>
  </si>
  <si>
    <t>5.4.</t>
  </si>
  <si>
    <t>5.5.</t>
  </si>
  <si>
    <t>15.1.</t>
  </si>
  <si>
    <t>15.2.</t>
  </si>
  <si>
    <t>15.3.</t>
  </si>
  <si>
    <t>15.4.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</si>
  <si>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</si>
  <si>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41040400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</si>
  <si>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</si>
  <si>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</si>
  <si>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</si>
  <si>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лютий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</si>
  <si>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</si>
  <si>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</si>
  <si>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</si>
  <si>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41021400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</si>
  <si>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</si>
  <si>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41051700</t>
  </si>
  <si>
    <t>березень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</si>
  <si>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</si>
  <si>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* субвенція з бюджету Якушинецької сільської територіальної громади  на надання освітніх послуг дітям 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</si>
  <si>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Місцеві податки, нараховані до 1 січня 2011 року</t>
  </si>
  <si>
    <t>ПРО ООН</t>
  </si>
  <si>
    <t>Від Європейського Союзу, урядів іноземних держав, міжнародних організацій, донорських установ (ККД 42000000)</t>
  </si>
  <si>
    <t>квітень</t>
  </si>
  <si>
    <t>*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</si>
  <si>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Субвенція з місцевого бюджету на виконання окремих заходів з реалізації соціального проекту «Активні парки - локації здорової України» за рахунок відповідної субвенції з державного бюджету</t>
  </si>
  <si>
    <t>8.1.</t>
  </si>
  <si>
    <t>8.2.</t>
  </si>
  <si>
    <t>8.3.</t>
  </si>
  <si>
    <t>8.4.</t>
  </si>
  <si>
    <t>8.5.</t>
  </si>
  <si>
    <t>8.6.</t>
  </si>
  <si>
    <t>8.7.</t>
  </si>
  <si>
    <t>Надійшло за січень - травень 2024р.</t>
  </si>
  <si>
    <t>Відхилення надходжень до плану на січень - травень 2024 року</t>
  </si>
  <si>
    <t>План на січень - травень 2024 року</t>
  </si>
  <si>
    <t>План на січень - травень 2024р. (розрахунковий)</t>
  </si>
  <si>
    <t xml:space="preserve">Відхилення надходжень до плану на січень - травень 2024 року (розрахунковий) </t>
  </si>
  <si>
    <t>Надійшло за січень - травень 2023р.</t>
  </si>
  <si>
    <t>% виконання до бюджету на 2024р. (норма 41,7%)</t>
  </si>
  <si>
    <t>22020400</t>
  </si>
  <si>
    <t>Плата за ліцензії на провадження діяльності з організації та проведення азартних ігор у залах гральних автоматів</t>
  </si>
  <si>
    <t>травень</t>
  </si>
  <si>
    <t>Аналіз виконання бюджету Вінницької міської територіальної громади за січень - травень 2024 року</t>
  </si>
  <si>
    <t xml:space="preserve"> Директор департаменту фінансів  </t>
  </si>
  <si>
    <t xml:space="preserve">  Антоніна ЛЕСЬ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</si>
</sst>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5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sz val="14"/>
      <name val="Times New Roman Cyr"/>
      <charset val="204"/>
    </font>
    <font>
      <i/>
      <sz val="14"/>
      <name val="Times New Roman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183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49" fontId="32" fillId="0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7" fillId="0" borderId="1" xfId="3" applyFont="1" applyFill="1" applyBorder="1" applyAlignment="1">
      <alignment horizontal="center" vertical="center"/>
    </xf>
    <xf numFmtId="166" fontId="28" fillId="0" borderId="0" xfId="3" applyNumberFormat="1" applyFont="1" applyFill="1" applyBorder="1"/>
    <xf numFmtId="164" fontId="28" fillId="0" borderId="0" xfId="3" applyNumberFormat="1" applyFont="1" applyFill="1" applyBorder="1"/>
    <xf numFmtId="0" fontId="28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0" fontId="35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1" xfId="1" applyNumberFormat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6" fontId="37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168" fontId="37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39" fillId="0" borderId="1" xfId="2" applyNumberFormat="1" applyFont="1" applyFill="1" applyBorder="1" applyAlignment="1">
      <alignment horizontal="left" vertical="center" wrapText="1"/>
    </xf>
    <xf numFmtId="0" fontId="39" fillId="0" borderId="1" xfId="2" applyNumberFormat="1" applyFont="1" applyFill="1" applyBorder="1" applyAlignment="1">
      <alignment horizontal="left" vertical="center" wrapText="1"/>
    </xf>
    <xf numFmtId="166" fontId="18" fillId="0" borderId="0" xfId="2" applyNumberFormat="1" applyFont="1" applyFill="1"/>
    <xf numFmtId="166" fontId="32" fillId="0" borderId="0" xfId="1" applyNumberFormat="1" applyFont="1" applyFill="1" applyBorder="1" applyAlignment="1">
      <alignment horizontal="center" vertical="center" wrapText="1"/>
    </xf>
    <xf numFmtId="0" fontId="29" fillId="0" borderId="0" xfId="3" applyFont="1" applyFill="1" applyBorder="1"/>
    <xf numFmtId="49" fontId="11" fillId="0" borderId="1" xfId="3" applyNumberFormat="1" applyFont="1" applyFill="1" applyBorder="1" applyAlignment="1">
      <alignment horizontal="center" vertical="center" wrapText="1" shrinkToFit="1"/>
    </xf>
    <xf numFmtId="166" fontId="26" fillId="0" borderId="0" xfId="3" applyNumberFormat="1" applyFont="1" applyFill="1" applyBorder="1"/>
    <xf numFmtId="0" fontId="20" fillId="0" borderId="1" xfId="1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horizontal="center" vertical="center" wrapText="1"/>
    </xf>
    <xf numFmtId="166" fontId="20" fillId="0" borderId="1" xfId="3" applyNumberFormat="1" applyFont="1" applyFill="1" applyBorder="1" applyAlignment="1">
      <alignment horizontal="center" vertical="center"/>
    </xf>
    <xf numFmtId="164" fontId="20" fillId="0" borderId="1" xfId="3" applyNumberFormat="1" applyFont="1" applyFill="1" applyBorder="1" applyAlignment="1">
      <alignment horizontal="center" vertical="center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49" fontId="39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24" fillId="0" borderId="1" xfId="2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8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8" fontId="37" fillId="0" borderId="1" xfId="3" applyNumberFormat="1" applyFont="1" applyFill="1" applyBorder="1" applyAlignment="1">
      <alignment horizontal="center" vertical="center" wrapText="1"/>
    </xf>
    <xf numFmtId="168" fontId="38" fillId="0" borderId="1" xfId="3" applyNumberFormat="1" applyFont="1" applyFill="1" applyBorder="1" applyAlignment="1">
      <alignment horizontal="center" vertical="center" wrapText="1"/>
    </xf>
    <xf numFmtId="168" fontId="36" fillId="0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8" fontId="20" fillId="0" borderId="1" xfId="1" applyNumberFormat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166" fontId="36" fillId="0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0" fontId="2" fillId="0" borderId="1" xfId="2" applyFont="1" applyFill="1" applyBorder="1"/>
    <xf numFmtId="0" fontId="2" fillId="0" borderId="1" xfId="2" applyFont="1" applyFill="1" applyBorder="1" applyAlignment="1">
      <alignment horizontal="center" vertical="center" wrapText="1"/>
    </xf>
    <xf numFmtId="168" fontId="3" fillId="0" borderId="0" xfId="2" applyNumberFormat="1" applyFont="1" applyFill="1" applyBorder="1" applyAlignment="1">
      <alignment horizontal="center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29" fillId="0" borderId="1" xfId="1" applyFont="1" applyFill="1" applyBorder="1" applyAlignment="1">
      <alignment horizontal="left" vertical="center" wrapText="1"/>
    </xf>
    <xf numFmtId="0" fontId="29" fillId="0" borderId="1" xfId="3" applyNumberFormat="1" applyFont="1" applyFill="1" applyBorder="1" applyAlignment="1">
      <alignment horizontal="justify" vertical="center" wrapText="1" shrinkToFit="1"/>
    </xf>
    <xf numFmtId="0" fontId="43" fillId="0" borderId="1" xfId="3" applyNumberFormat="1" applyFont="1" applyFill="1" applyBorder="1" applyAlignment="1">
      <alignment horizontal="justify" vertical="center" wrapText="1" shrinkToFit="1"/>
    </xf>
    <xf numFmtId="0" fontId="44" fillId="0" borderId="1" xfId="3" applyNumberFormat="1" applyFont="1" applyFill="1" applyBorder="1" applyAlignment="1">
      <alignment horizontal="left" vertical="center" wrapText="1" shrinkToFit="1"/>
    </xf>
    <xf numFmtId="0" fontId="17" fillId="0" borderId="0" xfId="2" applyFont="1" applyFill="1" applyAlignment="1">
      <alignment horizontal="center" wrapText="1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3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3" applyFont="1" applyFill="1" applyBorder="1" applyAlignment="1">
      <alignment horizontal="center" vertical="center" wrapText="1"/>
    </xf>
    <xf numFmtId="166" fontId="32" fillId="0" borderId="1" xfId="3" applyNumberFormat="1" applyFont="1" applyFill="1" applyBorder="1" applyAlignment="1">
      <alignment horizontal="center" vertical="center" wrapText="1"/>
    </xf>
    <xf numFmtId="168" fontId="32" fillId="0" borderId="1" xfId="3" applyNumberFormat="1" applyFont="1" applyFill="1" applyBorder="1" applyAlignment="1">
      <alignment horizontal="center" vertical="center" wrapText="1"/>
    </xf>
    <xf numFmtId="166" fontId="31" fillId="0" borderId="0" xfId="3" applyNumberFormat="1" applyFont="1" applyFill="1" applyBorder="1"/>
    <xf numFmtId="0" fontId="31" fillId="0" borderId="0" xfId="3" applyFont="1" applyFill="1" applyBorder="1"/>
    <xf numFmtId="0" fontId="31" fillId="0" borderId="1" xfId="1" applyFont="1" applyFill="1" applyBorder="1" applyAlignment="1">
      <alignment horizontal="center" vertical="center"/>
    </xf>
    <xf numFmtId="2" fontId="32" fillId="0" borderId="1" xfId="1" applyNumberFormat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horizontal="center" vertical="center" wrapText="1"/>
    </xf>
    <xf numFmtId="165" fontId="41" fillId="0" borderId="1" xfId="1" applyNumberFormat="1" applyFont="1" applyFill="1" applyBorder="1" applyAlignment="1">
      <alignment horizontal="center" vertical="center" wrapText="1"/>
    </xf>
    <xf numFmtId="166" fontId="41" fillId="0" borderId="1" xfId="1" applyNumberFormat="1" applyFont="1" applyFill="1" applyBorder="1" applyAlignment="1">
      <alignment horizontal="center" vertical="center" wrapText="1"/>
    </xf>
    <xf numFmtId="168" fontId="41" fillId="0" borderId="1" xfId="1" applyNumberFormat="1" applyFont="1" applyFill="1" applyBorder="1" applyAlignment="1">
      <alignment horizontal="center" vertical="center" wrapText="1"/>
    </xf>
    <xf numFmtId="166" fontId="41" fillId="0" borderId="1" xfId="3" applyNumberFormat="1" applyFont="1" applyFill="1" applyBorder="1" applyAlignment="1">
      <alignment horizontal="center" vertical="center"/>
    </xf>
    <xf numFmtId="164" fontId="41" fillId="0" borderId="1" xfId="3" applyNumberFormat="1" applyFont="1" applyFill="1" applyBorder="1" applyAlignment="1">
      <alignment horizontal="center" vertical="center"/>
    </xf>
    <xf numFmtId="166" fontId="40" fillId="0" borderId="0" xfId="1" applyNumberFormat="1" applyFont="1" applyFill="1" applyBorder="1"/>
    <xf numFmtId="0" fontId="40" fillId="0" borderId="0" xfId="1" applyFont="1" applyFill="1" applyBorder="1"/>
    <xf numFmtId="0" fontId="33" fillId="0" borderId="1" xfId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/>
    </xf>
    <xf numFmtId="0" fontId="33" fillId="0" borderId="0" xfId="1" applyFont="1" applyFill="1" applyBorder="1"/>
    <xf numFmtId="49" fontId="41" fillId="0" borderId="1" xfId="1" applyNumberFormat="1" applyFont="1" applyFill="1" applyBorder="1" applyAlignment="1">
      <alignment horizontal="center" vertical="center" wrapText="1"/>
    </xf>
    <xf numFmtId="167" fontId="41" fillId="0" borderId="1" xfId="3" applyNumberFormat="1" applyFont="1" applyFill="1" applyBorder="1" applyAlignment="1">
      <alignment horizontal="center" vertical="center"/>
    </xf>
    <xf numFmtId="0" fontId="40" fillId="0" borderId="1" xfId="1" applyFont="1" applyFill="1" applyBorder="1" applyAlignment="1">
      <alignment vertical="center"/>
    </xf>
    <xf numFmtId="166" fontId="41" fillId="0" borderId="4" xfId="1" applyNumberFormat="1" applyFont="1" applyFill="1" applyBorder="1" applyAlignment="1">
      <alignment horizontal="center" vertical="center" wrapText="1"/>
    </xf>
    <xf numFmtId="0" fontId="29" fillId="0" borderId="0" xfId="0" applyFont="1" applyFill="1" applyBorder="1"/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38"/>
  <sheetViews>
    <sheetView showGridLines="0" tabSelected="1" view="pageBreakPreview" zoomScale="60" zoomScaleNormal="7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A1" sqref="AA1:AE1048576"/>
    </sheetView>
  </sheetViews>
  <sheetFormatPr defaultRowHeight="12.75" x14ac:dyDescent="0.2"/>
  <cols>
    <col min="1" max="1" width="12.28515625" style="19" customWidth="1"/>
    <col min="2" max="2" width="90.28515625" style="19" customWidth="1"/>
    <col min="3" max="3" width="16.140625" style="19" customWidth="1"/>
    <col min="4" max="4" width="24.140625" style="19" customWidth="1"/>
    <col min="5" max="5" width="27.7109375" style="19" customWidth="1"/>
    <col min="6" max="6" width="27.7109375" style="3" customWidth="1"/>
    <col min="7" max="7" width="24.140625" style="3" hidden="1" customWidth="1"/>
    <col min="8" max="11" width="21.140625" style="3" hidden="1" customWidth="1"/>
    <col min="12" max="12" width="26.7109375" style="3" customWidth="1"/>
    <col min="13" max="13" width="23.7109375" style="3" customWidth="1"/>
    <col min="14" max="14" width="14.85546875" style="3" bestFit="1" customWidth="1"/>
    <col min="15" max="15" width="26.42578125" style="3" hidden="1" customWidth="1"/>
    <col min="16" max="16" width="23" style="3" hidden="1" customWidth="1"/>
    <col min="17" max="17" width="13.7109375" style="3" hidden="1" customWidth="1"/>
    <col min="18" max="18" width="15.28515625" style="3" customWidth="1"/>
    <col min="19" max="19" width="24.140625" style="3" customWidth="1"/>
    <col min="20" max="20" width="23.5703125" style="1" customWidth="1"/>
    <col min="21" max="21" width="13.7109375" style="3" bestFit="1" customWidth="1"/>
    <col min="22" max="22" width="24.140625" style="3" hidden="1" customWidth="1"/>
    <col min="23" max="23" width="22.5703125" style="3" hidden="1" customWidth="1"/>
    <col min="24" max="24" width="15.85546875" style="3" hidden="1" customWidth="1"/>
    <col min="25" max="25" width="0" style="3" hidden="1" customWidth="1"/>
    <col min="26" max="26" width="24.140625" style="3" hidden="1" customWidth="1"/>
    <col min="27" max="27" width="0" style="3" hidden="1" customWidth="1"/>
    <col min="28" max="28" width="15.140625" style="3" hidden="1" customWidth="1"/>
    <col min="29" max="31" width="0" style="3" hidden="1" customWidth="1"/>
    <col min="32" max="16384" width="9.140625" style="3"/>
  </cols>
  <sheetData>
    <row r="1" spans="1:36" ht="30" customHeight="1" x14ac:dyDescent="0.2">
      <c r="A1" s="156" t="s">
        <v>204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</row>
    <row r="2" spans="1:36" ht="18.75" x14ac:dyDescent="0.3">
      <c r="A2" s="22" t="s">
        <v>48</v>
      </c>
      <c r="B2" s="17"/>
      <c r="C2" s="17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134"/>
      <c r="S2" s="68"/>
      <c r="T2" s="5" t="s">
        <v>13</v>
      </c>
      <c r="U2" s="5"/>
    </row>
    <row r="3" spans="1:36" s="47" customFormat="1" ht="15" customHeight="1" x14ac:dyDescent="0.25">
      <c r="A3" s="157" t="s">
        <v>0</v>
      </c>
      <c r="B3" s="158" t="s">
        <v>1</v>
      </c>
      <c r="C3" s="158" t="s">
        <v>2</v>
      </c>
      <c r="D3" s="154" t="s">
        <v>152</v>
      </c>
      <c r="E3" s="154" t="s">
        <v>153</v>
      </c>
      <c r="F3" s="154" t="s">
        <v>194</v>
      </c>
      <c r="G3" s="154" t="s">
        <v>63</v>
      </c>
      <c r="H3" s="154" t="s">
        <v>171</v>
      </c>
      <c r="I3" s="154" t="s">
        <v>178</v>
      </c>
      <c r="J3" s="154" t="s">
        <v>184</v>
      </c>
      <c r="K3" s="154" t="s">
        <v>203</v>
      </c>
      <c r="L3" s="154" t="s">
        <v>196</v>
      </c>
      <c r="M3" s="154" t="s">
        <v>195</v>
      </c>
      <c r="N3" s="154" t="s">
        <v>3</v>
      </c>
      <c r="O3" s="154" t="s">
        <v>197</v>
      </c>
      <c r="P3" s="154" t="s">
        <v>198</v>
      </c>
      <c r="Q3" s="154" t="s">
        <v>3</v>
      </c>
      <c r="R3" s="155" t="s">
        <v>200</v>
      </c>
      <c r="S3" s="154" t="s">
        <v>199</v>
      </c>
      <c r="T3" s="154" t="s">
        <v>156</v>
      </c>
      <c r="U3" s="154" t="s">
        <v>3</v>
      </c>
    </row>
    <row r="4" spans="1:36" s="47" customFormat="1" ht="83.25" customHeight="1" x14ac:dyDescent="0.25">
      <c r="A4" s="157"/>
      <c r="B4" s="158"/>
      <c r="C4" s="158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5"/>
      <c r="S4" s="154"/>
      <c r="T4" s="154"/>
      <c r="U4" s="154"/>
    </row>
    <row r="5" spans="1:36" s="51" customFormat="1" ht="20.25" x14ac:dyDescent="0.2">
      <c r="A5" s="48" t="s">
        <v>4</v>
      </c>
      <c r="B5" s="49" t="s">
        <v>5</v>
      </c>
      <c r="C5" s="49">
        <f>B5+1</f>
        <v>3</v>
      </c>
      <c r="D5" s="49">
        <f>C5+1</f>
        <v>4</v>
      </c>
      <c r="E5" s="49">
        <f t="shared" ref="E5:U5" si="0">D5+1</f>
        <v>5</v>
      </c>
      <c r="F5" s="49">
        <f t="shared" ref="F5" si="1">E5+1</f>
        <v>6</v>
      </c>
      <c r="G5" s="49">
        <f t="shared" ref="G5" si="2">F5+1</f>
        <v>7</v>
      </c>
      <c r="H5" s="49">
        <f t="shared" ref="H5" si="3">G5+1</f>
        <v>8</v>
      </c>
      <c r="I5" s="49">
        <f t="shared" ref="I5" si="4">H5+1</f>
        <v>9</v>
      </c>
      <c r="J5" s="49">
        <f t="shared" ref="J5" si="5">I5+1</f>
        <v>10</v>
      </c>
      <c r="K5" s="49">
        <f t="shared" ref="K5" si="6">J5+1</f>
        <v>11</v>
      </c>
      <c r="L5" s="49">
        <v>7</v>
      </c>
      <c r="M5" s="49">
        <f t="shared" ref="M5" si="7">L5+1</f>
        <v>8</v>
      </c>
      <c r="N5" s="49">
        <f t="shared" ref="N5" si="8">M5+1</f>
        <v>9</v>
      </c>
      <c r="O5" s="49">
        <f t="shared" ref="O5" si="9">N5+1</f>
        <v>10</v>
      </c>
      <c r="P5" s="49">
        <f t="shared" ref="P5" si="10">O5+1</f>
        <v>11</v>
      </c>
      <c r="Q5" s="49">
        <f t="shared" ref="Q5" si="11">P5+1</f>
        <v>12</v>
      </c>
      <c r="R5" s="49">
        <v>10</v>
      </c>
      <c r="S5" s="49">
        <f t="shared" si="0"/>
        <v>11</v>
      </c>
      <c r="T5" s="49">
        <f t="shared" si="0"/>
        <v>12</v>
      </c>
      <c r="U5" s="49">
        <f t="shared" si="0"/>
        <v>13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</row>
    <row r="6" spans="1:36" s="52" customFormat="1" ht="26.25" customHeight="1" x14ac:dyDescent="0.2">
      <c r="A6" s="153" t="s">
        <v>6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</row>
    <row r="7" spans="1:36" s="56" customFormat="1" ht="32.25" customHeight="1" x14ac:dyDescent="0.25">
      <c r="A7" s="138">
        <v>1</v>
      </c>
      <c r="B7" s="61" t="s">
        <v>64</v>
      </c>
      <c r="C7" s="53" t="s">
        <v>14</v>
      </c>
      <c r="D7" s="126">
        <v>3112871.4720000001</v>
      </c>
      <c r="E7" s="126">
        <v>3178333.3960000002</v>
      </c>
      <c r="F7" s="126">
        <f>SUM(G7:K7)</f>
        <v>1257627.7520000001</v>
      </c>
      <c r="G7" s="126">
        <v>211850.85699999999</v>
      </c>
      <c r="H7" s="126">
        <v>240217.06700000001</v>
      </c>
      <c r="I7" s="126">
        <v>248941.52799999999</v>
      </c>
      <c r="J7" s="126">
        <v>265666.495</v>
      </c>
      <c r="K7" s="126">
        <v>290951.80499999999</v>
      </c>
      <c r="L7" s="126">
        <v>1157866.892</v>
      </c>
      <c r="M7" s="126">
        <f>F7-L7</f>
        <v>99760.860000000102</v>
      </c>
      <c r="N7" s="115">
        <f>F7/L7*100</f>
        <v>108.61591783038911</v>
      </c>
      <c r="O7" s="126">
        <f>E7/12*5</f>
        <v>1324305.5816666668</v>
      </c>
      <c r="P7" s="126">
        <f>F7-O7</f>
        <v>-66677.829666666687</v>
      </c>
      <c r="Q7" s="115">
        <f>F7/O7*100</f>
        <v>94.965072216734811</v>
      </c>
      <c r="R7" s="115">
        <f>F7/E7*100</f>
        <v>39.56878009030617</v>
      </c>
      <c r="S7" s="126">
        <v>1371112.726</v>
      </c>
      <c r="T7" s="83">
        <f>F7-S7</f>
        <v>-113484.97399999993</v>
      </c>
      <c r="U7" s="84">
        <f>F7/S7*100</f>
        <v>91.723147787339556</v>
      </c>
      <c r="V7" s="54"/>
      <c r="W7" s="54"/>
      <c r="X7" s="54">
        <f>V7-W7</f>
        <v>0</v>
      </c>
      <c r="Y7" s="55" t="e">
        <f>V7/W7*100</f>
        <v>#DIV/0!</v>
      </c>
    </row>
    <row r="8" spans="1:36" s="56" customFormat="1" ht="39" x14ac:dyDescent="0.25">
      <c r="A8" s="138">
        <f>A7+1</f>
        <v>2</v>
      </c>
      <c r="B8" s="61" t="s">
        <v>36</v>
      </c>
      <c r="C8" s="53" t="s">
        <v>16</v>
      </c>
      <c r="D8" s="126">
        <v>2500</v>
      </c>
      <c r="E8" s="126">
        <f>2500+300</f>
        <v>2800</v>
      </c>
      <c r="F8" s="126">
        <f t="shared" ref="F8:F75" si="12">SUM(G8:K8)</f>
        <v>3798.2750000000001</v>
      </c>
      <c r="G8" s="126">
        <v>238.74100000000001</v>
      </c>
      <c r="H8" s="126">
        <v>122.902</v>
      </c>
      <c r="I8" s="126">
        <v>2232.596</v>
      </c>
      <c r="J8" s="126">
        <v>95.078000000000003</v>
      </c>
      <c r="K8" s="126">
        <v>1108.9580000000001</v>
      </c>
      <c r="L8" s="126">
        <v>2800</v>
      </c>
      <c r="M8" s="126">
        <f t="shared" ref="M8:M75" si="13">F8-L8</f>
        <v>998.27500000000009</v>
      </c>
      <c r="N8" s="115">
        <f t="shared" ref="N8:N75" si="14">F8/L8*100</f>
        <v>135.65267857142857</v>
      </c>
      <c r="O8" s="126">
        <f t="shared" ref="O8:O50" si="15">E8/12*5</f>
        <v>1166.6666666666667</v>
      </c>
      <c r="P8" s="126">
        <f t="shared" ref="P8:P75" si="16">F8-O8</f>
        <v>2631.6083333333336</v>
      </c>
      <c r="Q8" s="115">
        <f t="shared" ref="Q8:Q75" si="17">F8/O8*100</f>
        <v>325.56642857142856</v>
      </c>
      <c r="R8" s="115">
        <f t="shared" ref="R8:R75" si="18">F8/E8*100</f>
        <v>135.65267857142857</v>
      </c>
      <c r="S8" s="126">
        <v>1093.1420000000001</v>
      </c>
      <c r="T8" s="83">
        <f t="shared" ref="T8:T39" si="19">F8-S8</f>
        <v>2705.1329999999998</v>
      </c>
      <c r="U8" s="84">
        <f>F8/S8*100</f>
        <v>347.46400742081084</v>
      </c>
      <c r="V8" s="54"/>
      <c r="W8" s="54"/>
      <c r="X8" s="54">
        <f>S7/0.5</f>
        <v>2742225.452</v>
      </c>
      <c r="Y8" s="55">
        <f>W8/X8*100</f>
        <v>0</v>
      </c>
    </row>
    <row r="9" spans="1:36" s="56" customFormat="1" ht="36" customHeight="1" x14ac:dyDescent="0.25">
      <c r="A9" s="138">
        <v>3</v>
      </c>
      <c r="B9" s="61" t="s">
        <v>98</v>
      </c>
      <c r="C9" s="53" t="s">
        <v>99</v>
      </c>
      <c r="D9" s="126">
        <f>SUM(D10:D13)</f>
        <v>455.8</v>
      </c>
      <c r="E9" s="126">
        <f>SUM(E10:E13)</f>
        <v>455.8</v>
      </c>
      <c r="F9" s="126">
        <f t="shared" si="12"/>
        <v>93.522999999999996</v>
      </c>
      <c r="G9" s="126">
        <f t="shared" ref="G9:L9" si="20">SUM(G10:G13)</f>
        <v>0.97799999999999998</v>
      </c>
      <c r="H9" s="126">
        <f t="shared" ref="H9:J9" si="21">SUM(H10:H13)</f>
        <v>61.450999999999993</v>
      </c>
      <c r="I9" s="126">
        <f t="shared" si="21"/>
        <v>1.4999999999999999E-2</v>
      </c>
      <c r="J9" s="126">
        <f t="shared" si="21"/>
        <v>2</v>
      </c>
      <c r="K9" s="126">
        <f t="shared" si="20"/>
        <v>29.079000000000001</v>
      </c>
      <c r="L9" s="126">
        <f t="shared" si="20"/>
        <v>92.634999999999991</v>
      </c>
      <c r="M9" s="126">
        <f t="shared" si="13"/>
        <v>0.88800000000000523</v>
      </c>
      <c r="N9" s="115">
        <f t="shared" si="14"/>
        <v>100.95860096075997</v>
      </c>
      <c r="O9" s="126">
        <f t="shared" si="15"/>
        <v>189.91666666666669</v>
      </c>
      <c r="P9" s="126">
        <f t="shared" si="16"/>
        <v>-96.393666666666689</v>
      </c>
      <c r="Q9" s="115">
        <f t="shared" si="17"/>
        <v>49.244229925405875</v>
      </c>
      <c r="R9" s="115">
        <f t="shared" si="18"/>
        <v>20.51842913558578</v>
      </c>
      <c r="S9" s="126">
        <f>SUM(S10:S13)</f>
        <v>219.36099999999999</v>
      </c>
      <c r="T9" s="83">
        <f t="shared" si="19"/>
        <v>-125.83799999999999</v>
      </c>
      <c r="U9" s="84">
        <f>F9/S9*100</f>
        <v>42.634287772211103</v>
      </c>
      <c r="V9" s="54"/>
      <c r="W9" s="54"/>
      <c r="X9" s="54"/>
      <c r="Y9" s="55"/>
    </row>
    <row r="10" spans="1:36" s="60" customFormat="1" ht="41.25" customHeight="1" x14ac:dyDescent="0.25">
      <c r="A10" s="57" t="s">
        <v>100</v>
      </c>
      <c r="B10" s="105" t="s">
        <v>121</v>
      </c>
      <c r="C10" s="135" t="s">
        <v>122</v>
      </c>
      <c r="D10" s="127">
        <v>32</v>
      </c>
      <c r="E10" s="127">
        <v>32</v>
      </c>
      <c r="F10" s="127">
        <f t="shared" si="12"/>
        <v>12.401</v>
      </c>
      <c r="G10" s="127">
        <v>0</v>
      </c>
      <c r="H10" s="127">
        <v>8.84</v>
      </c>
      <c r="I10" s="127">
        <v>0</v>
      </c>
      <c r="J10" s="127">
        <v>0</v>
      </c>
      <c r="K10" s="127">
        <v>3.5609999999999999</v>
      </c>
      <c r="L10" s="127">
        <v>12.4</v>
      </c>
      <c r="M10" s="127">
        <f t="shared" si="13"/>
        <v>9.9999999999944578E-4</v>
      </c>
      <c r="N10" s="116">
        <f t="shared" si="14"/>
        <v>100.00806451612902</v>
      </c>
      <c r="O10" s="127">
        <f t="shared" si="15"/>
        <v>13.333333333333332</v>
      </c>
      <c r="P10" s="127">
        <f t="shared" si="16"/>
        <v>-0.93233333333333235</v>
      </c>
      <c r="Q10" s="116">
        <f t="shared" si="17"/>
        <v>93.007500000000007</v>
      </c>
      <c r="R10" s="116">
        <f t="shared" si="18"/>
        <v>38.753124999999997</v>
      </c>
      <c r="S10" s="127">
        <v>13.048</v>
      </c>
      <c r="T10" s="128">
        <f t="shared" si="19"/>
        <v>-0.64700000000000024</v>
      </c>
      <c r="U10" s="129">
        <f>F10/S10*100</f>
        <v>95.041385652973631</v>
      </c>
      <c r="V10" s="58"/>
      <c r="W10" s="58"/>
      <c r="X10" s="58"/>
      <c r="Y10" s="59"/>
    </row>
    <row r="11" spans="1:36" s="60" customFormat="1" ht="78" x14ac:dyDescent="0.25">
      <c r="A11" s="57" t="s">
        <v>101</v>
      </c>
      <c r="B11" s="105" t="s">
        <v>93</v>
      </c>
      <c r="C11" s="46" t="s">
        <v>94</v>
      </c>
      <c r="D11" s="127">
        <v>305</v>
      </c>
      <c r="E11" s="127">
        <v>305</v>
      </c>
      <c r="F11" s="127">
        <f t="shared" si="12"/>
        <v>38.768000000000001</v>
      </c>
      <c r="G11" s="127">
        <v>0</v>
      </c>
      <c r="H11" s="127">
        <v>35.134999999999998</v>
      </c>
      <c r="I11" s="127">
        <v>0</v>
      </c>
      <c r="J11" s="127">
        <v>0</v>
      </c>
      <c r="K11" s="127">
        <v>3.633</v>
      </c>
      <c r="L11" s="127">
        <v>38</v>
      </c>
      <c r="M11" s="127">
        <f t="shared" si="13"/>
        <v>0.76800000000000068</v>
      </c>
      <c r="N11" s="116">
        <f t="shared" si="14"/>
        <v>102.02105263157894</v>
      </c>
      <c r="O11" s="127">
        <f t="shared" si="15"/>
        <v>127.08333333333334</v>
      </c>
      <c r="P11" s="127">
        <f t="shared" si="16"/>
        <v>-88.315333333333342</v>
      </c>
      <c r="Q11" s="116">
        <f t="shared" si="17"/>
        <v>30.505967213114754</v>
      </c>
      <c r="R11" s="116">
        <f t="shared" si="18"/>
        <v>12.71081967213115</v>
      </c>
      <c r="S11" s="127">
        <v>165.155</v>
      </c>
      <c r="T11" s="128">
        <f t="shared" si="19"/>
        <v>-126.387</v>
      </c>
      <c r="U11" s="129">
        <f t="shared" ref="U11:U21" si="22">F11/S11*100</f>
        <v>23.473706518119343</v>
      </c>
    </row>
    <row r="12" spans="1:36" s="60" customFormat="1" ht="51.75" customHeight="1" x14ac:dyDescent="0.25">
      <c r="A12" s="57" t="s">
        <v>102</v>
      </c>
      <c r="B12" s="105" t="s">
        <v>119</v>
      </c>
      <c r="C12" s="46" t="s">
        <v>97</v>
      </c>
      <c r="D12" s="127">
        <v>117</v>
      </c>
      <c r="E12" s="127">
        <v>117</v>
      </c>
      <c r="F12" s="127">
        <f t="shared" si="12"/>
        <v>41.987000000000002</v>
      </c>
      <c r="G12" s="127">
        <v>0.97799999999999998</v>
      </c>
      <c r="H12" s="127">
        <v>17.292999999999999</v>
      </c>
      <c r="I12" s="127">
        <v>1.4999999999999999E-2</v>
      </c>
      <c r="J12" s="127">
        <v>2</v>
      </c>
      <c r="K12" s="127">
        <v>21.701000000000001</v>
      </c>
      <c r="L12" s="127">
        <v>41.954999999999998</v>
      </c>
      <c r="M12" s="127">
        <f t="shared" si="13"/>
        <v>3.2000000000003581E-2</v>
      </c>
      <c r="N12" s="116">
        <f t="shared" si="14"/>
        <v>100.07627219640092</v>
      </c>
      <c r="O12" s="127">
        <f t="shared" si="15"/>
        <v>48.75</v>
      </c>
      <c r="P12" s="127">
        <f t="shared" si="16"/>
        <v>-6.7629999999999981</v>
      </c>
      <c r="Q12" s="116">
        <f t="shared" si="17"/>
        <v>86.12717948717949</v>
      </c>
      <c r="R12" s="116">
        <f t="shared" si="18"/>
        <v>35.886324786324785</v>
      </c>
      <c r="S12" s="127">
        <v>39.811999999999998</v>
      </c>
      <c r="T12" s="128">
        <f t="shared" si="19"/>
        <v>2.1750000000000043</v>
      </c>
      <c r="U12" s="129">
        <f t="shared" si="22"/>
        <v>105.46317693157843</v>
      </c>
    </row>
    <row r="13" spans="1:36" s="60" customFormat="1" ht="39" x14ac:dyDescent="0.25">
      <c r="A13" s="57" t="s">
        <v>123</v>
      </c>
      <c r="B13" s="105" t="s">
        <v>118</v>
      </c>
      <c r="C13" s="46" t="s">
        <v>117</v>
      </c>
      <c r="D13" s="127">
        <v>1.8</v>
      </c>
      <c r="E13" s="127">
        <v>1.8</v>
      </c>
      <c r="F13" s="127">
        <f t="shared" si="12"/>
        <v>0.36699999999999999</v>
      </c>
      <c r="G13" s="127">
        <v>0</v>
      </c>
      <c r="H13" s="127">
        <v>0.183</v>
      </c>
      <c r="I13" s="127">
        <v>0</v>
      </c>
      <c r="J13" s="127">
        <v>0</v>
      </c>
      <c r="K13" s="127">
        <v>0.184</v>
      </c>
      <c r="L13" s="127">
        <v>0.28000000000000003</v>
      </c>
      <c r="M13" s="127">
        <f t="shared" si="13"/>
        <v>8.6999999999999966E-2</v>
      </c>
      <c r="N13" s="116">
        <f t="shared" si="14"/>
        <v>131.07142857142856</v>
      </c>
      <c r="O13" s="127">
        <f t="shared" si="15"/>
        <v>0.75</v>
      </c>
      <c r="P13" s="127">
        <f t="shared" si="16"/>
        <v>-0.38300000000000001</v>
      </c>
      <c r="Q13" s="116">
        <f t="shared" si="17"/>
        <v>48.933333333333337</v>
      </c>
      <c r="R13" s="116">
        <f t="shared" si="18"/>
        <v>20.388888888888886</v>
      </c>
      <c r="S13" s="127">
        <v>1.3459999999999999</v>
      </c>
      <c r="T13" s="128">
        <f t="shared" si="19"/>
        <v>-0.97899999999999987</v>
      </c>
      <c r="U13" s="129">
        <f t="shared" si="22"/>
        <v>27.265973254086184</v>
      </c>
    </row>
    <row r="14" spans="1:36" s="56" customFormat="1" ht="33" customHeight="1" x14ac:dyDescent="0.25">
      <c r="A14" s="138">
        <v>4</v>
      </c>
      <c r="B14" s="72" t="s">
        <v>84</v>
      </c>
      <c r="C14" s="69" t="s">
        <v>83</v>
      </c>
      <c r="D14" s="126">
        <f>D15+D18</f>
        <v>459000</v>
      </c>
      <c r="E14" s="126">
        <f>E15+E18</f>
        <v>456597</v>
      </c>
      <c r="F14" s="126">
        <f t="shared" si="12"/>
        <v>177963.9</v>
      </c>
      <c r="G14" s="126">
        <f t="shared" ref="G14:L14" si="23">G15+G18</f>
        <v>40518.83</v>
      </c>
      <c r="H14" s="126">
        <f t="shared" ref="H14:J14" si="24">H15+H18</f>
        <v>25927.566999999999</v>
      </c>
      <c r="I14" s="126">
        <f t="shared" si="24"/>
        <v>34284.724000000002</v>
      </c>
      <c r="J14" s="126">
        <f t="shared" si="24"/>
        <v>36373.17</v>
      </c>
      <c r="K14" s="126">
        <f t="shared" si="23"/>
        <v>40859.608999999997</v>
      </c>
      <c r="L14" s="126">
        <f t="shared" si="23"/>
        <v>176797</v>
      </c>
      <c r="M14" s="126">
        <f t="shared" si="13"/>
        <v>1166.8999999999942</v>
      </c>
      <c r="N14" s="115">
        <f t="shared" si="14"/>
        <v>100.66002251169419</v>
      </c>
      <c r="O14" s="126">
        <f t="shared" si="15"/>
        <v>190248.75</v>
      </c>
      <c r="P14" s="126">
        <f t="shared" si="16"/>
        <v>-12284.850000000006</v>
      </c>
      <c r="Q14" s="115">
        <f t="shared" si="17"/>
        <v>93.542743382019594</v>
      </c>
      <c r="R14" s="115">
        <f t="shared" si="18"/>
        <v>38.976143075841499</v>
      </c>
      <c r="S14" s="126">
        <f>S15+S18</f>
        <v>156581.035</v>
      </c>
      <c r="T14" s="83">
        <f t="shared" si="19"/>
        <v>21382.864999999991</v>
      </c>
      <c r="U14" s="84">
        <f t="shared" si="22"/>
        <v>113.6561014557095</v>
      </c>
    </row>
    <row r="15" spans="1:36" s="60" customFormat="1" ht="39" x14ac:dyDescent="0.25">
      <c r="A15" s="57" t="s">
        <v>113</v>
      </c>
      <c r="B15" s="105" t="s">
        <v>146</v>
      </c>
      <c r="C15" s="145" t="s">
        <v>151</v>
      </c>
      <c r="D15" s="127">
        <f>SUM(D16:D17)</f>
        <v>153000</v>
      </c>
      <c r="E15" s="127">
        <f>SUM(E16:E17)</f>
        <v>153000</v>
      </c>
      <c r="F15" s="127">
        <f t="shared" si="12"/>
        <v>64842.038999999997</v>
      </c>
      <c r="G15" s="127">
        <f t="shared" ref="G15:L15" si="25">SUM(G16:G17)</f>
        <v>13410.271999999999</v>
      </c>
      <c r="H15" s="127">
        <f t="shared" ref="H15:J15" si="26">SUM(H16:H17)</f>
        <v>10447.121999999999</v>
      </c>
      <c r="I15" s="127">
        <f t="shared" si="26"/>
        <v>12704.659</v>
      </c>
      <c r="J15" s="127">
        <f t="shared" si="26"/>
        <v>14001.805999999999</v>
      </c>
      <c r="K15" s="127">
        <f t="shared" si="25"/>
        <v>14278.18</v>
      </c>
      <c r="L15" s="127">
        <f t="shared" si="25"/>
        <v>64160</v>
      </c>
      <c r="M15" s="127">
        <f t="shared" si="13"/>
        <v>682.03899999999703</v>
      </c>
      <c r="N15" s="116">
        <f t="shared" si="14"/>
        <v>101.06302836658354</v>
      </c>
      <c r="O15" s="127">
        <f t="shared" si="15"/>
        <v>63750</v>
      </c>
      <c r="P15" s="127">
        <f t="shared" si="16"/>
        <v>1092.038999999997</v>
      </c>
      <c r="Q15" s="116">
        <f t="shared" si="17"/>
        <v>101.71300235294116</v>
      </c>
      <c r="R15" s="116">
        <f t="shared" si="18"/>
        <v>42.38041764705882</v>
      </c>
      <c r="S15" s="127">
        <f>SUM(S16:S17)</f>
        <v>47423.709000000003</v>
      </c>
      <c r="T15" s="128">
        <f t="shared" si="19"/>
        <v>17418.329999999994</v>
      </c>
      <c r="U15" s="129">
        <f t="shared" si="22"/>
        <v>136.72916009163262</v>
      </c>
    </row>
    <row r="16" spans="1:36" s="60" customFormat="1" ht="39" x14ac:dyDescent="0.25">
      <c r="A16" s="57" t="s">
        <v>142</v>
      </c>
      <c r="B16" s="105" t="s">
        <v>87</v>
      </c>
      <c r="C16" s="145"/>
      <c r="D16" s="127">
        <v>34000</v>
      </c>
      <c r="E16" s="127">
        <v>34000</v>
      </c>
      <c r="F16" s="127">
        <f t="shared" si="12"/>
        <v>9950.0529999999999</v>
      </c>
      <c r="G16" s="127">
        <v>1880.6579999999999</v>
      </c>
      <c r="H16" s="127">
        <v>1575.9359999999999</v>
      </c>
      <c r="I16" s="127">
        <v>2017.0070000000001</v>
      </c>
      <c r="J16" s="127">
        <v>2418.721</v>
      </c>
      <c r="K16" s="127">
        <v>2057.7310000000002</v>
      </c>
      <c r="L16" s="127">
        <v>9860</v>
      </c>
      <c r="M16" s="127">
        <f t="shared" si="13"/>
        <v>90.052999999999884</v>
      </c>
      <c r="N16" s="116">
        <f t="shared" si="14"/>
        <v>100.91331643002029</v>
      </c>
      <c r="O16" s="127">
        <f t="shared" si="15"/>
        <v>14166.666666666668</v>
      </c>
      <c r="P16" s="127">
        <f t="shared" si="16"/>
        <v>-4216.613666666668</v>
      </c>
      <c r="Q16" s="116">
        <f t="shared" si="17"/>
        <v>70.235668235294114</v>
      </c>
      <c r="R16" s="116">
        <f t="shared" si="18"/>
        <v>29.264861764705881</v>
      </c>
      <c r="S16" s="127">
        <v>8138.357</v>
      </c>
      <c r="T16" s="128">
        <f t="shared" si="19"/>
        <v>1811.6959999999999</v>
      </c>
      <c r="U16" s="129">
        <f t="shared" si="22"/>
        <v>122.26120087875229</v>
      </c>
      <c r="V16" s="58">
        <f>S16+S17</f>
        <v>47423.709000000003</v>
      </c>
      <c r="W16" s="58">
        <f>F16+F17</f>
        <v>64842.038999999997</v>
      </c>
    </row>
    <row r="17" spans="1:24" s="60" customFormat="1" ht="39" x14ac:dyDescent="0.25">
      <c r="A17" s="57" t="s">
        <v>143</v>
      </c>
      <c r="B17" s="105" t="s">
        <v>88</v>
      </c>
      <c r="C17" s="145"/>
      <c r="D17" s="127">
        <v>119000</v>
      </c>
      <c r="E17" s="127">
        <v>119000</v>
      </c>
      <c r="F17" s="127">
        <f t="shared" si="12"/>
        <v>54891.985999999997</v>
      </c>
      <c r="G17" s="127">
        <v>11529.614</v>
      </c>
      <c r="H17" s="127">
        <v>8871.1859999999997</v>
      </c>
      <c r="I17" s="127">
        <v>10687.652</v>
      </c>
      <c r="J17" s="127">
        <v>11583.084999999999</v>
      </c>
      <c r="K17" s="127">
        <v>12220.449000000001</v>
      </c>
      <c r="L17" s="127">
        <v>54300</v>
      </c>
      <c r="M17" s="127">
        <f t="shared" si="13"/>
        <v>591.98599999999715</v>
      </c>
      <c r="N17" s="116">
        <f t="shared" si="14"/>
        <v>101.09021362799263</v>
      </c>
      <c r="O17" s="127">
        <f t="shared" si="15"/>
        <v>49583.333333333328</v>
      </c>
      <c r="P17" s="127">
        <f t="shared" si="16"/>
        <v>5308.6526666666687</v>
      </c>
      <c r="Q17" s="116">
        <f t="shared" si="17"/>
        <v>110.70652638655463</v>
      </c>
      <c r="R17" s="116">
        <f t="shared" si="18"/>
        <v>46.127719327731093</v>
      </c>
      <c r="S17" s="127">
        <v>39285.351999999999</v>
      </c>
      <c r="T17" s="128">
        <f t="shared" si="19"/>
        <v>15606.633999999998</v>
      </c>
      <c r="U17" s="129">
        <f t="shared" si="22"/>
        <v>139.72634380366503</v>
      </c>
    </row>
    <row r="18" spans="1:24" s="60" customFormat="1" ht="48" customHeight="1" x14ac:dyDescent="0.25">
      <c r="A18" s="57" t="s">
        <v>114</v>
      </c>
      <c r="B18" s="105" t="s">
        <v>89</v>
      </c>
      <c r="C18" s="46" t="s">
        <v>56</v>
      </c>
      <c r="D18" s="127">
        <f t="shared" ref="D18:E18" si="27">SUM(D19:D20)</f>
        <v>306000</v>
      </c>
      <c r="E18" s="127">
        <f t="shared" si="27"/>
        <v>303597</v>
      </c>
      <c r="F18" s="127">
        <f t="shared" si="12"/>
        <v>113121.861</v>
      </c>
      <c r="G18" s="127">
        <f t="shared" ref="G18:L18" si="28">SUM(G19:G20)</f>
        <v>27108.558000000001</v>
      </c>
      <c r="H18" s="127">
        <f t="shared" ref="H18:J18" si="29">SUM(H19:H20)</f>
        <v>15480.445</v>
      </c>
      <c r="I18" s="127">
        <f t="shared" si="29"/>
        <v>21580.065000000002</v>
      </c>
      <c r="J18" s="127">
        <f t="shared" si="29"/>
        <v>22371.364000000001</v>
      </c>
      <c r="K18" s="127">
        <f t="shared" si="28"/>
        <v>26581.429</v>
      </c>
      <c r="L18" s="127">
        <f t="shared" si="28"/>
        <v>112637</v>
      </c>
      <c r="M18" s="127">
        <f t="shared" si="13"/>
        <v>484.86100000000442</v>
      </c>
      <c r="N18" s="116">
        <f t="shared" si="14"/>
        <v>100.43046334685761</v>
      </c>
      <c r="O18" s="127">
        <f t="shared" si="15"/>
        <v>126498.75</v>
      </c>
      <c r="P18" s="127">
        <f t="shared" si="16"/>
        <v>-13376.888999999996</v>
      </c>
      <c r="Q18" s="116">
        <f t="shared" si="17"/>
        <v>89.425279696439702</v>
      </c>
      <c r="R18" s="116">
        <f t="shared" si="18"/>
        <v>37.260533206849871</v>
      </c>
      <c r="S18" s="127">
        <f>S19+S20</f>
        <v>109157.326</v>
      </c>
      <c r="T18" s="128">
        <f t="shared" si="19"/>
        <v>3964.5350000000035</v>
      </c>
      <c r="U18" s="129">
        <f t="shared" si="22"/>
        <v>103.63194587599187</v>
      </c>
    </row>
    <row r="19" spans="1:24" s="60" customFormat="1" ht="105.75" customHeight="1" x14ac:dyDescent="0.25">
      <c r="A19" s="57" t="s">
        <v>144</v>
      </c>
      <c r="B19" s="105" t="s">
        <v>128</v>
      </c>
      <c r="C19" s="46">
        <v>14040100</v>
      </c>
      <c r="D19" s="127">
        <v>179000</v>
      </c>
      <c r="E19" s="127">
        <f>179000-2403</f>
        <v>176597</v>
      </c>
      <c r="F19" s="127">
        <f t="shared" si="12"/>
        <v>64900.467000000004</v>
      </c>
      <c r="G19" s="127">
        <v>15616.877</v>
      </c>
      <c r="H19" s="127">
        <v>7234.652</v>
      </c>
      <c r="I19" s="127">
        <v>12636.714</v>
      </c>
      <c r="J19" s="127">
        <v>12694.672</v>
      </c>
      <c r="K19" s="127">
        <v>16717.552</v>
      </c>
      <c r="L19" s="127">
        <v>64867</v>
      </c>
      <c r="M19" s="127">
        <f t="shared" si="13"/>
        <v>33.467000000004191</v>
      </c>
      <c r="N19" s="116">
        <f t="shared" si="14"/>
        <v>100.0515932600552</v>
      </c>
      <c r="O19" s="127">
        <f t="shared" si="15"/>
        <v>73582.083333333328</v>
      </c>
      <c r="P19" s="127">
        <f t="shared" si="16"/>
        <v>-8681.6163333333243</v>
      </c>
      <c r="Q19" s="116">
        <f t="shared" si="17"/>
        <v>88.201453478824675</v>
      </c>
      <c r="R19" s="116">
        <f t="shared" si="18"/>
        <v>36.750605616176948</v>
      </c>
      <c r="S19" s="127">
        <v>64743.093000000001</v>
      </c>
      <c r="T19" s="128">
        <f t="shared" si="19"/>
        <v>157.37400000000343</v>
      </c>
      <c r="U19" s="129">
        <f t="shared" si="22"/>
        <v>100.24307457785497</v>
      </c>
    </row>
    <row r="20" spans="1:24" s="60" customFormat="1" ht="78" x14ac:dyDescent="0.25">
      <c r="A20" s="57" t="s">
        <v>145</v>
      </c>
      <c r="B20" s="105" t="s">
        <v>129</v>
      </c>
      <c r="C20" s="46">
        <v>14040200</v>
      </c>
      <c r="D20" s="127">
        <v>127000</v>
      </c>
      <c r="E20" s="127">
        <v>127000</v>
      </c>
      <c r="F20" s="127">
        <f t="shared" si="12"/>
        <v>48221.394000000008</v>
      </c>
      <c r="G20" s="127">
        <v>11491.681</v>
      </c>
      <c r="H20" s="127">
        <v>8245.7929999999997</v>
      </c>
      <c r="I20" s="127">
        <v>8943.3510000000006</v>
      </c>
      <c r="J20" s="127">
        <v>9676.6919999999991</v>
      </c>
      <c r="K20" s="127">
        <v>9863.8770000000004</v>
      </c>
      <c r="L20" s="127">
        <v>47770</v>
      </c>
      <c r="M20" s="127">
        <f t="shared" si="13"/>
        <v>451.39400000000751</v>
      </c>
      <c r="N20" s="116">
        <f t="shared" si="14"/>
        <v>100.94493196566884</v>
      </c>
      <c r="O20" s="127">
        <f t="shared" si="15"/>
        <v>52916.666666666672</v>
      </c>
      <c r="P20" s="127">
        <f t="shared" si="16"/>
        <v>-4695.272666666664</v>
      </c>
      <c r="Q20" s="116">
        <f t="shared" si="17"/>
        <v>91.127043779527554</v>
      </c>
      <c r="R20" s="116">
        <f t="shared" si="18"/>
        <v>37.969601574803157</v>
      </c>
      <c r="S20" s="127">
        <v>44414.233</v>
      </c>
      <c r="T20" s="128">
        <f t="shared" si="19"/>
        <v>3807.1610000000073</v>
      </c>
      <c r="U20" s="129">
        <f t="shared" si="22"/>
        <v>108.57193908988592</v>
      </c>
    </row>
    <row r="21" spans="1:24" s="73" customFormat="1" ht="23.25" x14ac:dyDescent="0.25">
      <c r="A21" s="138">
        <v>5</v>
      </c>
      <c r="B21" s="61" t="s">
        <v>181</v>
      </c>
      <c r="C21" s="53" t="s">
        <v>130</v>
      </c>
      <c r="D21" s="126">
        <v>0</v>
      </c>
      <c r="E21" s="126">
        <v>0</v>
      </c>
      <c r="F21" s="126">
        <f t="shared" si="12"/>
        <v>1.867</v>
      </c>
      <c r="G21" s="126">
        <v>0</v>
      </c>
      <c r="H21" s="126">
        <v>0</v>
      </c>
      <c r="I21" s="126">
        <v>1.867</v>
      </c>
      <c r="J21" s="126"/>
      <c r="K21" s="126"/>
      <c r="L21" s="126"/>
      <c r="M21" s="126">
        <f t="shared" si="13"/>
        <v>1.867</v>
      </c>
      <c r="N21" s="115"/>
      <c r="O21" s="126">
        <f t="shared" si="15"/>
        <v>0</v>
      </c>
      <c r="P21" s="126">
        <f t="shared" si="16"/>
        <v>1.867</v>
      </c>
      <c r="Q21" s="115"/>
      <c r="R21" s="115"/>
      <c r="S21" s="126">
        <v>1.2E-2</v>
      </c>
      <c r="T21" s="83">
        <f t="shared" si="19"/>
        <v>1.855</v>
      </c>
      <c r="U21" s="84">
        <f t="shared" si="22"/>
        <v>15558.333333333334</v>
      </c>
      <c r="V21" s="96"/>
      <c r="W21" s="96"/>
    </row>
    <row r="22" spans="1:24" s="73" customFormat="1" ht="39" x14ac:dyDescent="0.25">
      <c r="A22" s="138">
        <v>5</v>
      </c>
      <c r="B22" s="61" t="s">
        <v>127</v>
      </c>
      <c r="C22" s="53" t="s">
        <v>38</v>
      </c>
      <c r="D22" s="126">
        <f>D23+D24+D25+D27+D26</f>
        <v>1522620.5</v>
      </c>
      <c r="E22" s="126">
        <f>E23+E24+E25+E27+E26</f>
        <v>1522620.5</v>
      </c>
      <c r="F22" s="126">
        <f t="shared" si="12"/>
        <v>726582.3600000001</v>
      </c>
      <c r="G22" s="126">
        <f t="shared" ref="G22:L22" si="30">G23+G24+G25+G27+G26</f>
        <v>166303.29399999999</v>
      </c>
      <c r="H22" s="126">
        <f t="shared" ref="H22:J22" si="31">H23+H24+H25+H27+H26</f>
        <v>166294.84599999999</v>
      </c>
      <c r="I22" s="126">
        <f t="shared" si="31"/>
        <v>80628.866000000009</v>
      </c>
      <c r="J22" s="126">
        <f t="shared" si="31"/>
        <v>168253.326</v>
      </c>
      <c r="K22" s="126">
        <f t="shared" si="30"/>
        <v>145102.02800000002</v>
      </c>
      <c r="L22" s="126">
        <f t="shared" si="30"/>
        <v>683403.59100000001</v>
      </c>
      <c r="M22" s="126">
        <f t="shared" si="13"/>
        <v>43178.769000000088</v>
      </c>
      <c r="N22" s="115">
        <f t="shared" si="14"/>
        <v>106.31819463178678</v>
      </c>
      <c r="O22" s="126">
        <f t="shared" si="15"/>
        <v>634425.20833333337</v>
      </c>
      <c r="P22" s="126">
        <f t="shared" si="16"/>
        <v>92157.15166666673</v>
      </c>
      <c r="Q22" s="115">
        <f t="shared" si="17"/>
        <v>114.52608604704851</v>
      </c>
      <c r="R22" s="115">
        <f t="shared" si="18"/>
        <v>47.719202519603542</v>
      </c>
      <c r="S22" s="126">
        <f t="shared" ref="S22" si="32">S23+S24+S25+S27+S26</f>
        <v>534770.53299999994</v>
      </c>
      <c r="T22" s="83">
        <f t="shared" si="19"/>
        <v>191811.82700000016</v>
      </c>
      <c r="U22" s="84">
        <f t="shared" ref="U22:U29" si="33">F22/S22*100</f>
        <v>135.86806212450756</v>
      </c>
      <c r="V22" s="96">
        <f>S24+S25+S23</f>
        <v>180260.60799999998</v>
      </c>
      <c r="W22" s="96">
        <f>F23+F24+F25</f>
        <v>222445.47099999999</v>
      </c>
    </row>
    <row r="23" spans="1:24" s="75" customFormat="1" ht="32.25" customHeight="1" x14ac:dyDescent="0.25">
      <c r="A23" s="74" t="s">
        <v>157</v>
      </c>
      <c r="B23" s="106" t="s">
        <v>57</v>
      </c>
      <c r="C23" s="146" t="s">
        <v>44</v>
      </c>
      <c r="D23" s="127">
        <f>1130+29500+34000+106300</f>
        <v>170930</v>
      </c>
      <c r="E23" s="127">
        <f>1130+29500+34000+106300</f>
        <v>170930</v>
      </c>
      <c r="F23" s="127">
        <f t="shared" si="12"/>
        <v>85748.653000000006</v>
      </c>
      <c r="G23" s="127">
        <v>22984.595000000001</v>
      </c>
      <c r="H23" s="127">
        <v>12356.476000000001</v>
      </c>
      <c r="I23" s="127">
        <v>11892.504000000001</v>
      </c>
      <c r="J23" s="127">
        <v>25969.126</v>
      </c>
      <c r="K23" s="127">
        <v>12545.951999999999</v>
      </c>
      <c r="L23" s="127">
        <v>85090.789000000004</v>
      </c>
      <c r="M23" s="127">
        <f t="shared" si="13"/>
        <v>657.8640000000014</v>
      </c>
      <c r="N23" s="116">
        <f t="shared" si="14"/>
        <v>100.77313186037094</v>
      </c>
      <c r="O23" s="127">
        <f t="shared" si="15"/>
        <v>71220.833333333328</v>
      </c>
      <c r="P23" s="127">
        <f t="shared" si="16"/>
        <v>14527.819666666677</v>
      </c>
      <c r="Q23" s="116">
        <f t="shared" si="17"/>
        <v>120.39827250921431</v>
      </c>
      <c r="R23" s="116">
        <f t="shared" si="18"/>
        <v>50.165946878839293</v>
      </c>
      <c r="S23" s="127">
        <v>60502.186999999998</v>
      </c>
      <c r="T23" s="128">
        <f t="shared" si="19"/>
        <v>25246.466000000008</v>
      </c>
      <c r="U23" s="129">
        <f t="shared" si="33"/>
        <v>141.7281874455216</v>
      </c>
    </row>
    <row r="24" spans="1:24" s="75" customFormat="1" ht="32.25" customHeight="1" x14ac:dyDescent="0.25">
      <c r="A24" s="57" t="s">
        <v>158</v>
      </c>
      <c r="B24" s="106" t="s">
        <v>7</v>
      </c>
      <c r="C24" s="146"/>
      <c r="D24" s="127">
        <f>139000+145000+28500+14000</f>
        <v>326500</v>
      </c>
      <c r="E24" s="127">
        <f>139000+145000+28500+14000</f>
        <v>326500</v>
      </c>
      <c r="F24" s="127">
        <f t="shared" si="12"/>
        <v>135520.92300000001</v>
      </c>
      <c r="G24" s="127">
        <v>22702.335999999999</v>
      </c>
      <c r="H24" s="127">
        <v>31099.098999999998</v>
      </c>
      <c r="I24" s="127">
        <v>28599.886999999999</v>
      </c>
      <c r="J24" s="127">
        <v>26354.705000000002</v>
      </c>
      <c r="K24" s="127">
        <v>26764.896000000001</v>
      </c>
      <c r="L24" s="127">
        <v>134075</v>
      </c>
      <c r="M24" s="127">
        <f t="shared" si="13"/>
        <v>1445.9230000000098</v>
      </c>
      <c r="N24" s="116">
        <f t="shared" si="14"/>
        <v>101.07844340854</v>
      </c>
      <c r="O24" s="127">
        <f t="shared" si="15"/>
        <v>136041.66666666666</v>
      </c>
      <c r="P24" s="127">
        <f t="shared" si="16"/>
        <v>-520.74366666664719</v>
      </c>
      <c r="Q24" s="116">
        <f t="shared" si="17"/>
        <v>99.617217519142429</v>
      </c>
      <c r="R24" s="116">
        <f t="shared" si="18"/>
        <v>41.507173966309345</v>
      </c>
      <c r="S24" s="127">
        <v>119145.26799999998</v>
      </c>
      <c r="T24" s="128">
        <f t="shared" si="19"/>
        <v>16375.655000000028</v>
      </c>
      <c r="U24" s="129">
        <f t="shared" si="33"/>
        <v>113.74427644075635</v>
      </c>
    </row>
    <row r="25" spans="1:24" s="75" customFormat="1" ht="32.25" customHeight="1" x14ac:dyDescent="0.25">
      <c r="A25" s="57" t="s">
        <v>159</v>
      </c>
      <c r="B25" s="106" t="s">
        <v>58</v>
      </c>
      <c r="C25" s="146"/>
      <c r="D25" s="127">
        <f>1000+980.5</f>
        <v>1980.5</v>
      </c>
      <c r="E25" s="127">
        <f>1000+980.5</f>
        <v>1980.5</v>
      </c>
      <c r="F25" s="127">
        <f t="shared" si="12"/>
        <v>1175.895</v>
      </c>
      <c r="G25" s="127">
        <v>305.23899999999998</v>
      </c>
      <c r="H25" s="127">
        <v>303.30200000000002</v>
      </c>
      <c r="I25" s="127">
        <v>121.78100000000001</v>
      </c>
      <c r="J25" s="127">
        <v>300.91000000000003</v>
      </c>
      <c r="K25" s="127">
        <v>144.66300000000001</v>
      </c>
      <c r="L25" s="127">
        <v>1167.5</v>
      </c>
      <c r="M25" s="127">
        <f t="shared" si="13"/>
        <v>8.3949999999999818</v>
      </c>
      <c r="N25" s="116">
        <f t="shared" si="14"/>
        <v>100.71905781584583</v>
      </c>
      <c r="O25" s="127">
        <f t="shared" si="15"/>
        <v>825.20833333333326</v>
      </c>
      <c r="P25" s="127">
        <f t="shared" si="16"/>
        <v>350.68666666666672</v>
      </c>
      <c r="Q25" s="116">
        <f t="shared" si="17"/>
        <v>142.49674324665489</v>
      </c>
      <c r="R25" s="116">
        <f t="shared" si="18"/>
        <v>59.373643019439534</v>
      </c>
      <c r="S25" s="127">
        <v>613.15300000000002</v>
      </c>
      <c r="T25" s="128">
        <f t="shared" si="19"/>
        <v>562.74199999999996</v>
      </c>
      <c r="U25" s="129">
        <f t="shared" si="33"/>
        <v>191.77839788763978</v>
      </c>
      <c r="V25" s="129">
        <f>100-U25</f>
        <v>-91.778397887639784</v>
      </c>
      <c r="W25" s="76"/>
      <c r="X25" s="77" t="e">
        <f>F23/#REF!*100</f>
        <v>#REF!</v>
      </c>
    </row>
    <row r="26" spans="1:24" s="79" customFormat="1" ht="32.25" customHeight="1" x14ac:dyDescent="0.25">
      <c r="A26" s="57" t="s">
        <v>160</v>
      </c>
      <c r="B26" s="106" t="s">
        <v>40</v>
      </c>
      <c r="C26" s="78" t="s">
        <v>39</v>
      </c>
      <c r="D26" s="127">
        <v>2710</v>
      </c>
      <c r="E26" s="127">
        <v>2710</v>
      </c>
      <c r="F26" s="127">
        <f t="shared" si="12"/>
        <v>1260.1379999999999</v>
      </c>
      <c r="G26" s="127">
        <v>229.9</v>
      </c>
      <c r="H26" s="127">
        <v>363.15800000000002</v>
      </c>
      <c r="I26" s="127">
        <v>125.917</v>
      </c>
      <c r="J26" s="127">
        <v>263.55799999999999</v>
      </c>
      <c r="K26" s="127">
        <v>277.60500000000002</v>
      </c>
      <c r="L26" s="127">
        <v>1253</v>
      </c>
      <c r="M26" s="127">
        <f t="shared" si="13"/>
        <v>7.13799999999992</v>
      </c>
      <c r="N26" s="116">
        <f t="shared" si="14"/>
        <v>100.56967278531523</v>
      </c>
      <c r="O26" s="127">
        <f t="shared" si="15"/>
        <v>1129.1666666666667</v>
      </c>
      <c r="P26" s="127">
        <f t="shared" si="16"/>
        <v>130.97133333333318</v>
      </c>
      <c r="Q26" s="116">
        <f t="shared" si="17"/>
        <v>111.59893726937268</v>
      </c>
      <c r="R26" s="116">
        <f t="shared" si="18"/>
        <v>46.499557195571953</v>
      </c>
      <c r="S26" s="127">
        <v>940.80299999999988</v>
      </c>
      <c r="T26" s="127">
        <f t="shared" si="19"/>
        <v>319.33500000000004</v>
      </c>
      <c r="U26" s="129">
        <f t="shared" si="33"/>
        <v>133.94281268235753</v>
      </c>
    </row>
    <row r="27" spans="1:24" s="75" customFormat="1" ht="32.25" customHeight="1" x14ac:dyDescent="0.25">
      <c r="A27" s="57" t="s">
        <v>161</v>
      </c>
      <c r="B27" s="106" t="s">
        <v>33</v>
      </c>
      <c r="C27" s="136" t="s">
        <v>34</v>
      </c>
      <c r="D27" s="127">
        <v>1020500</v>
      </c>
      <c r="E27" s="127">
        <v>1020500</v>
      </c>
      <c r="F27" s="127">
        <f t="shared" si="12"/>
        <v>502876.75100000005</v>
      </c>
      <c r="G27" s="127">
        <v>120081.224</v>
      </c>
      <c r="H27" s="127">
        <v>122172.811</v>
      </c>
      <c r="I27" s="127">
        <v>39888.777000000002</v>
      </c>
      <c r="J27" s="127">
        <v>115365.027</v>
      </c>
      <c r="K27" s="127">
        <v>105368.912</v>
      </c>
      <c r="L27" s="127">
        <v>461817.30200000003</v>
      </c>
      <c r="M27" s="127">
        <f t="shared" si="13"/>
        <v>41059.449000000022</v>
      </c>
      <c r="N27" s="116">
        <f t="shared" si="14"/>
        <v>108.89084250897123</v>
      </c>
      <c r="O27" s="127">
        <f t="shared" si="15"/>
        <v>425208.33333333337</v>
      </c>
      <c r="P27" s="127">
        <f t="shared" si="16"/>
        <v>77668.417666666675</v>
      </c>
      <c r="Q27" s="116">
        <f t="shared" si="17"/>
        <v>118.26596789808916</v>
      </c>
      <c r="R27" s="116">
        <f t="shared" si="18"/>
        <v>49.277486624203824</v>
      </c>
      <c r="S27" s="127">
        <v>353569.12199999997</v>
      </c>
      <c r="T27" s="128">
        <f t="shared" si="19"/>
        <v>149307.62900000007</v>
      </c>
      <c r="U27" s="129">
        <f t="shared" si="33"/>
        <v>142.2286958078879</v>
      </c>
      <c r="W27" s="76"/>
      <c r="X27" s="77" t="e">
        <f>F27/#REF!*100</f>
        <v>#REF!</v>
      </c>
    </row>
    <row r="28" spans="1:24" s="56" customFormat="1" ht="39.75" customHeight="1" x14ac:dyDescent="0.25">
      <c r="A28" s="138">
        <v>6</v>
      </c>
      <c r="B28" s="61" t="s">
        <v>46</v>
      </c>
      <c r="C28" s="53" t="s">
        <v>17</v>
      </c>
      <c r="D28" s="126">
        <v>1900</v>
      </c>
      <c r="E28" s="126">
        <v>1900</v>
      </c>
      <c r="F28" s="126">
        <f t="shared" si="12"/>
        <v>1536.319</v>
      </c>
      <c r="G28" s="126">
        <v>73</v>
      </c>
      <c r="H28" s="126">
        <v>59.347000000000001</v>
      </c>
      <c r="I28" s="126">
        <v>643.04899999999998</v>
      </c>
      <c r="J28" s="126">
        <v>33.494</v>
      </c>
      <c r="K28" s="126">
        <v>727.42899999999997</v>
      </c>
      <c r="L28" s="126">
        <v>1528</v>
      </c>
      <c r="M28" s="126">
        <f t="shared" si="13"/>
        <v>8.31899999999996</v>
      </c>
      <c r="N28" s="115">
        <f t="shared" si="14"/>
        <v>100.54443717277486</v>
      </c>
      <c r="O28" s="126">
        <f t="shared" si="15"/>
        <v>791.66666666666674</v>
      </c>
      <c r="P28" s="126">
        <f t="shared" si="16"/>
        <v>744.65233333333322</v>
      </c>
      <c r="Q28" s="115">
        <f t="shared" si="17"/>
        <v>194.06134736842102</v>
      </c>
      <c r="R28" s="115">
        <f t="shared" si="18"/>
        <v>80.858894736842103</v>
      </c>
      <c r="S28" s="126">
        <v>914.04399999999998</v>
      </c>
      <c r="T28" s="83">
        <f t="shared" si="19"/>
        <v>622.27499999999998</v>
      </c>
      <c r="U28" s="84">
        <f t="shared" si="33"/>
        <v>168.07932659696908</v>
      </c>
      <c r="V28" s="55">
        <f>100-U28</f>
        <v>-68.079326596969082</v>
      </c>
    </row>
    <row r="29" spans="1:24" s="56" customFormat="1" ht="30" customHeight="1" x14ac:dyDescent="0.25">
      <c r="A29" s="138">
        <f t="shared" ref="A29:A37" si="34">A28+1</f>
        <v>7</v>
      </c>
      <c r="B29" s="61" t="s">
        <v>68</v>
      </c>
      <c r="C29" s="53" t="s">
        <v>67</v>
      </c>
      <c r="D29" s="126">
        <v>20000</v>
      </c>
      <c r="E29" s="126">
        <v>20000</v>
      </c>
      <c r="F29" s="126">
        <f t="shared" si="12"/>
        <v>3765.2609999999995</v>
      </c>
      <c r="G29" s="126">
        <v>0</v>
      </c>
      <c r="H29" s="126">
        <v>750.99099999999999</v>
      </c>
      <c r="I29" s="126">
        <v>1015.678</v>
      </c>
      <c r="J29" s="126">
        <v>982.91399999999999</v>
      </c>
      <c r="K29" s="126">
        <v>1015.678</v>
      </c>
      <c r="L29" s="126">
        <v>3600</v>
      </c>
      <c r="M29" s="126">
        <f t="shared" si="13"/>
        <v>165.26099999999951</v>
      </c>
      <c r="N29" s="115">
        <f t="shared" si="14"/>
        <v>104.59058333333331</v>
      </c>
      <c r="O29" s="126">
        <f t="shared" si="15"/>
        <v>8333.3333333333339</v>
      </c>
      <c r="P29" s="126">
        <f t="shared" si="16"/>
        <v>-4568.0723333333344</v>
      </c>
      <c r="Q29" s="115">
        <f t="shared" si="17"/>
        <v>45.183131999999993</v>
      </c>
      <c r="R29" s="115">
        <f t="shared" si="18"/>
        <v>18.826304999999998</v>
      </c>
      <c r="S29" s="126">
        <v>30343.200000000001</v>
      </c>
      <c r="T29" s="83">
        <f t="shared" si="19"/>
        <v>-26577.939000000002</v>
      </c>
      <c r="U29" s="84">
        <f t="shared" si="33"/>
        <v>12.408912046191567</v>
      </c>
    </row>
    <row r="30" spans="1:24" s="56" customFormat="1" ht="36.75" customHeight="1" x14ac:dyDescent="0.25">
      <c r="A30" s="138">
        <f t="shared" si="34"/>
        <v>8</v>
      </c>
      <c r="B30" s="61" t="s">
        <v>8</v>
      </c>
      <c r="C30" s="53" t="s">
        <v>18</v>
      </c>
      <c r="D30" s="126">
        <v>500</v>
      </c>
      <c r="E30" s="126">
        <v>500</v>
      </c>
      <c r="F30" s="126">
        <f t="shared" si="12"/>
        <v>213.614</v>
      </c>
      <c r="G30" s="126">
        <v>0</v>
      </c>
      <c r="H30" s="126">
        <v>91.486000000000004</v>
      </c>
      <c r="I30" s="126">
        <v>0</v>
      </c>
      <c r="J30" s="126">
        <v>0</v>
      </c>
      <c r="K30" s="126">
        <v>122.128</v>
      </c>
      <c r="L30" s="126">
        <v>91</v>
      </c>
      <c r="M30" s="126">
        <f t="shared" si="13"/>
        <v>122.614</v>
      </c>
      <c r="N30" s="115">
        <f t="shared" si="14"/>
        <v>234.74065934065936</v>
      </c>
      <c r="O30" s="126">
        <f t="shared" si="15"/>
        <v>208.33333333333331</v>
      </c>
      <c r="P30" s="126">
        <f t="shared" si="16"/>
        <v>5.2806666666666899</v>
      </c>
      <c r="Q30" s="115">
        <f t="shared" si="17"/>
        <v>102.53472000000001</v>
      </c>
      <c r="R30" s="115">
        <f t="shared" si="18"/>
        <v>42.722799999999999</v>
      </c>
      <c r="S30" s="126">
        <v>845.92</v>
      </c>
      <c r="T30" s="83">
        <f t="shared" si="19"/>
        <v>-632.30599999999993</v>
      </c>
      <c r="U30" s="84">
        <f t="shared" ref="U30:U35" si="35">F30/S30*100</f>
        <v>25.252269718176663</v>
      </c>
    </row>
    <row r="31" spans="1:24" s="56" customFormat="1" ht="78" x14ac:dyDescent="0.25">
      <c r="A31" s="138">
        <f t="shared" si="34"/>
        <v>9</v>
      </c>
      <c r="B31" s="110" t="s">
        <v>85</v>
      </c>
      <c r="C31" s="70" t="s">
        <v>86</v>
      </c>
      <c r="D31" s="126">
        <v>5</v>
      </c>
      <c r="E31" s="126">
        <f>5+3</f>
        <v>8</v>
      </c>
      <c r="F31" s="126">
        <f t="shared" si="12"/>
        <v>16.280999999999999</v>
      </c>
      <c r="G31" s="126">
        <v>0</v>
      </c>
      <c r="H31" s="126">
        <v>0.30599999999999999</v>
      </c>
      <c r="I31" s="126">
        <v>7.51</v>
      </c>
      <c r="J31" s="126">
        <v>3.2069999999999999</v>
      </c>
      <c r="K31" s="126">
        <v>5.258</v>
      </c>
      <c r="L31" s="126">
        <v>8</v>
      </c>
      <c r="M31" s="126">
        <f t="shared" si="13"/>
        <v>8.2809999999999988</v>
      </c>
      <c r="N31" s="115">
        <f t="shared" si="14"/>
        <v>203.51249999999999</v>
      </c>
      <c r="O31" s="126">
        <f t="shared" si="15"/>
        <v>3.333333333333333</v>
      </c>
      <c r="P31" s="126">
        <f t="shared" si="16"/>
        <v>12.947666666666667</v>
      </c>
      <c r="Q31" s="115">
        <f t="shared" si="17"/>
        <v>488.42999999999995</v>
      </c>
      <c r="R31" s="115">
        <f t="shared" si="18"/>
        <v>203.51249999999999</v>
      </c>
      <c r="S31" s="126">
        <v>-10.64</v>
      </c>
      <c r="T31" s="83">
        <f t="shared" si="19"/>
        <v>26.920999999999999</v>
      </c>
      <c r="U31" s="84">
        <f t="shared" si="35"/>
        <v>-153.01691729323306</v>
      </c>
    </row>
    <row r="32" spans="1:24" s="56" customFormat="1" ht="36.75" customHeight="1" x14ac:dyDescent="0.25">
      <c r="A32" s="138">
        <f t="shared" si="34"/>
        <v>10</v>
      </c>
      <c r="B32" s="88" t="s">
        <v>30</v>
      </c>
      <c r="C32" s="53" t="s">
        <v>24</v>
      </c>
      <c r="D32" s="126">
        <v>16000</v>
      </c>
      <c r="E32" s="126">
        <v>16000</v>
      </c>
      <c r="F32" s="126">
        <f t="shared" si="12"/>
        <v>6528.9639999999999</v>
      </c>
      <c r="G32" s="126">
        <v>1249.509</v>
      </c>
      <c r="H32" s="126">
        <v>1180.684</v>
      </c>
      <c r="I32" s="126">
        <v>1380.37</v>
      </c>
      <c r="J32" s="126">
        <v>1302.2090000000001</v>
      </c>
      <c r="K32" s="126">
        <v>1416.192</v>
      </c>
      <c r="L32" s="126">
        <v>6370</v>
      </c>
      <c r="M32" s="126">
        <f t="shared" si="13"/>
        <v>158.96399999999994</v>
      </c>
      <c r="N32" s="115">
        <f t="shared" si="14"/>
        <v>102.49551020408163</v>
      </c>
      <c r="O32" s="126">
        <f t="shared" si="15"/>
        <v>6666.6666666666661</v>
      </c>
      <c r="P32" s="126">
        <f t="shared" si="16"/>
        <v>-137.70266666666612</v>
      </c>
      <c r="Q32" s="115">
        <f t="shared" si="17"/>
        <v>97.934460000000016</v>
      </c>
      <c r="R32" s="115">
        <f t="shared" si="18"/>
        <v>40.806024999999998</v>
      </c>
      <c r="S32" s="126">
        <v>5549.12</v>
      </c>
      <c r="T32" s="83">
        <f t="shared" si="19"/>
        <v>979.84400000000005</v>
      </c>
      <c r="U32" s="84">
        <f t="shared" si="35"/>
        <v>117.6576466178421</v>
      </c>
      <c r="V32" s="55">
        <f>100-U32</f>
        <v>-17.657646617842104</v>
      </c>
    </row>
    <row r="33" spans="1:25" s="56" customFormat="1" ht="58.5" x14ac:dyDescent="0.25">
      <c r="A33" s="138">
        <f t="shared" si="34"/>
        <v>11</v>
      </c>
      <c r="B33" s="88" t="s">
        <v>78</v>
      </c>
      <c r="C33" s="53" t="s">
        <v>77</v>
      </c>
      <c r="D33" s="126">
        <v>760</v>
      </c>
      <c r="E33" s="126">
        <v>760</v>
      </c>
      <c r="F33" s="126">
        <f t="shared" si="12"/>
        <v>492.6</v>
      </c>
      <c r="G33" s="126">
        <v>6.8</v>
      </c>
      <c r="H33" s="126">
        <v>119</v>
      </c>
      <c r="I33" s="126">
        <v>106.8</v>
      </c>
      <c r="J33" s="126">
        <v>171.6</v>
      </c>
      <c r="K33" s="126">
        <v>88.4</v>
      </c>
      <c r="L33" s="126">
        <v>441.6</v>
      </c>
      <c r="M33" s="126">
        <f t="shared" si="13"/>
        <v>51</v>
      </c>
      <c r="N33" s="115">
        <f t="shared" si="14"/>
        <v>111.54891304347827</v>
      </c>
      <c r="O33" s="126">
        <f t="shared" si="15"/>
        <v>316.66666666666669</v>
      </c>
      <c r="P33" s="126">
        <f t="shared" si="16"/>
        <v>175.93333333333334</v>
      </c>
      <c r="Q33" s="115">
        <f t="shared" si="17"/>
        <v>155.55789473684209</v>
      </c>
      <c r="R33" s="115">
        <f t="shared" si="18"/>
        <v>64.81578947368422</v>
      </c>
      <c r="S33" s="126">
        <v>301.54399999999998</v>
      </c>
      <c r="T33" s="83">
        <f t="shared" si="19"/>
        <v>191.05600000000004</v>
      </c>
      <c r="U33" s="84">
        <f t="shared" si="35"/>
        <v>163.35924442204123</v>
      </c>
    </row>
    <row r="34" spans="1:25" s="56" customFormat="1" ht="58.5" x14ac:dyDescent="0.25">
      <c r="A34" s="138">
        <f t="shared" si="34"/>
        <v>12</v>
      </c>
      <c r="B34" s="88" t="s">
        <v>166</v>
      </c>
      <c r="C34" s="53" t="s">
        <v>103</v>
      </c>
      <c r="D34" s="126">
        <v>21300</v>
      </c>
      <c r="E34" s="126">
        <v>21300</v>
      </c>
      <c r="F34" s="126">
        <f t="shared" si="12"/>
        <v>9297.8170000000009</v>
      </c>
      <c r="G34" s="126">
        <v>1536.7550000000001</v>
      </c>
      <c r="H34" s="126">
        <v>2469.8440000000001</v>
      </c>
      <c r="I34" s="126">
        <v>1780.732</v>
      </c>
      <c r="J34" s="126">
        <v>1746.1220000000001</v>
      </c>
      <c r="K34" s="126">
        <v>1764.364</v>
      </c>
      <c r="L34" s="126">
        <v>9125</v>
      </c>
      <c r="M34" s="126">
        <f t="shared" si="13"/>
        <v>172.81700000000092</v>
      </c>
      <c r="N34" s="115">
        <f t="shared" si="14"/>
        <v>101.89388493150686</v>
      </c>
      <c r="O34" s="126">
        <f t="shared" si="15"/>
        <v>8875</v>
      </c>
      <c r="P34" s="126">
        <f t="shared" si="16"/>
        <v>422.81700000000092</v>
      </c>
      <c r="Q34" s="115">
        <f t="shared" si="17"/>
        <v>104.76413521126761</v>
      </c>
      <c r="R34" s="115">
        <f t="shared" si="18"/>
        <v>43.651723004694844</v>
      </c>
      <c r="S34" s="126">
        <v>8541.1290000000008</v>
      </c>
      <c r="T34" s="83">
        <f t="shared" si="19"/>
        <v>756.6880000000001</v>
      </c>
      <c r="U34" s="84">
        <f t="shared" si="35"/>
        <v>108.85934400475628</v>
      </c>
    </row>
    <row r="35" spans="1:25" s="56" customFormat="1" ht="58.5" x14ac:dyDescent="0.25">
      <c r="A35" s="138">
        <f>A34+1</f>
        <v>13</v>
      </c>
      <c r="B35" s="88" t="s">
        <v>132</v>
      </c>
      <c r="C35" s="53" t="s">
        <v>131</v>
      </c>
      <c r="D35" s="126">
        <v>3800</v>
      </c>
      <c r="E35" s="126">
        <v>3800</v>
      </c>
      <c r="F35" s="126">
        <f t="shared" si="12"/>
        <v>537.62699999999995</v>
      </c>
      <c r="G35" s="126">
        <v>143.596</v>
      </c>
      <c r="H35" s="126">
        <v>99.881</v>
      </c>
      <c r="I35" s="126">
        <v>91.864999999999995</v>
      </c>
      <c r="J35" s="126">
        <v>86.191000000000003</v>
      </c>
      <c r="K35" s="126">
        <v>116.09399999999999</v>
      </c>
      <c r="L35" s="126">
        <v>533</v>
      </c>
      <c r="M35" s="126">
        <f t="shared" si="13"/>
        <v>4.6269999999999527</v>
      </c>
      <c r="N35" s="115">
        <f t="shared" si="14"/>
        <v>100.86810506566604</v>
      </c>
      <c r="O35" s="126">
        <f t="shared" si="15"/>
        <v>1583.3333333333335</v>
      </c>
      <c r="P35" s="126">
        <f t="shared" si="16"/>
        <v>-1045.7063333333335</v>
      </c>
      <c r="Q35" s="115">
        <f t="shared" si="17"/>
        <v>33.955389473684207</v>
      </c>
      <c r="R35" s="115">
        <f t="shared" si="18"/>
        <v>14.14807894736842</v>
      </c>
      <c r="S35" s="126">
        <v>1478.2039999999997</v>
      </c>
      <c r="T35" s="83">
        <f t="shared" si="19"/>
        <v>-940.57699999999977</v>
      </c>
      <c r="U35" s="84">
        <f t="shared" si="35"/>
        <v>36.370284480355899</v>
      </c>
    </row>
    <row r="36" spans="1:25" s="56" customFormat="1" ht="78" x14ac:dyDescent="0.25">
      <c r="A36" s="138">
        <f t="shared" si="34"/>
        <v>14</v>
      </c>
      <c r="B36" s="88" t="s">
        <v>124</v>
      </c>
      <c r="C36" s="53" t="s">
        <v>125</v>
      </c>
      <c r="D36" s="126">
        <v>50</v>
      </c>
      <c r="E36" s="126">
        <v>50</v>
      </c>
      <c r="F36" s="126">
        <f t="shared" si="12"/>
        <v>30.905999999999999</v>
      </c>
      <c r="G36" s="126">
        <v>3.55</v>
      </c>
      <c r="H36" s="126">
        <v>2.84</v>
      </c>
      <c r="I36" s="126">
        <v>6.39</v>
      </c>
      <c r="J36" s="126">
        <v>13.156000000000001</v>
      </c>
      <c r="K36" s="126">
        <v>4.97</v>
      </c>
      <c r="L36" s="126">
        <v>30.9</v>
      </c>
      <c r="M36" s="126">
        <f t="shared" si="13"/>
        <v>6.0000000000002274E-3</v>
      </c>
      <c r="N36" s="115">
        <f t="shared" si="14"/>
        <v>100.01941747572816</v>
      </c>
      <c r="O36" s="126">
        <f t="shared" si="15"/>
        <v>20.833333333333336</v>
      </c>
      <c r="P36" s="126">
        <f t="shared" si="16"/>
        <v>10.072666666666663</v>
      </c>
      <c r="Q36" s="115">
        <f t="shared" si="17"/>
        <v>148.34879999999998</v>
      </c>
      <c r="R36" s="115">
        <f t="shared" si="18"/>
        <v>61.811999999999998</v>
      </c>
      <c r="S36" s="126">
        <v>18.07</v>
      </c>
      <c r="T36" s="83">
        <f t="shared" si="19"/>
        <v>12.835999999999999</v>
      </c>
      <c r="U36" s="84">
        <f t="shared" ref="U36:U45" si="36">F36/S36*100</f>
        <v>171.03486441615937</v>
      </c>
    </row>
    <row r="37" spans="1:25" s="56" customFormat="1" ht="40.5" customHeight="1" x14ac:dyDescent="0.25">
      <c r="A37" s="138">
        <f t="shared" si="34"/>
        <v>15</v>
      </c>
      <c r="B37" s="88" t="s">
        <v>80</v>
      </c>
      <c r="C37" s="53" t="s">
        <v>79</v>
      </c>
      <c r="D37" s="126">
        <f>SUM(D38:D41)</f>
        <v>40666</v>
      </c>
      <c r="E37" s="126">
        <f>SUM(E38:E41)</f>
        <v>40666</v>
      </c>
      <c r="F37" s="126">
        <f t="shared" si="12"/>
        <v>22239.025000000001</v>
      </c>
      <c r="G37" s="126">
        <f t="shared" ref="G37:L37" si="37">SUM(G38:G41)</f>
        <v>1954.4269999999999</v>
      </c>
      <c r="H37" s="126">
        <f t="shared" ref="H37:J37" si="38">SUM(H38:H41)</f>
        <v>5701.3409999999994</v>
      </c>
      <c r="I37" s="126">
        <f t="shared" si="38"/>
        <v>4601.5159999999996</v>
      </c>
      <c r="J37" s="126">
        <f t="shared" si="38"/>
        <v>4892.4530000000004</v>
      </c>
      <c r="K37" s="126">
        <f t="shared" si="37"/>
        <v>5089.2879999999996</v>
      </c>
      <c r="L37" s="126">
        <f t="shared" si="37"/>
        <v>21986.3</v>
      </c>
      <c r="M37" s="126">
        <f t="shared" si="13"/>
        <v>252.72500000000218</v>
      </c>
      <c r="N37" s="115">
        <f t="shared" si="14"/>
        <v>101.14946580370506</v>
      </c>
      <c r="O37" s="126">
        <f t="shared" si="15"/>
        <v>16944.166666666668</v>
      </c>
      <c r="P37" s="126">
        <f t="shared" si="16"/>
        <v>5294.8583333333336</v>
      </c>
      <c r="Q37" s="115">
        <f t="shared" si="17"/>
        <v>131.2488565386318</v>
      </c>
      <c r="R37" s="115">
        <f t="shared" si="18"/>
        <v>54.687023557763247</v>
      </c>
      <c r="S37" s="126">
        <f t="shared" ref="S37" si="39">SUM(S38:S41)</f>
        <v>15805.718999999997</v>
      </c>
      <c r="T37" s="83">
        <f t="shared" si="19"/>
        <v>6433.3060000000041</v>
      </c>
      <c r="U37" s="84">
        <f t="shared" si="36"/>
        <v>140.70239386136123</v>
      </c>
    </row>
    <row r="38" spans="1:25" s="60" customFormat="1" ht="42" customHeight="1" x14ac:dyDescent="0.25">
      <c r="A38" s="57" t="s">
        <v>162</v>
      </c>
      <c r="B38" s="89" t="s">
        <v>72</v>
      </c>
      <c r="C38" s="136" t="s">
        <v>71</v>
      </c>
      <c r="D38" s="127">
        <v>1700</v>
      </c>
      <c r="E38" s="127">
        <v>1700</v>
      </c>
      <c r="F38" s="127">
        <f t="shared" si="12"/>
        <v>625.774</v>
      </c>
      <c r="G38" s="127">
        <v>93.847999999999999</v>
      </c>
      <c r="H38" s="127">
        <v>135.93199999999999</v>
      </c>
      <c r="I38" s="127">
        <v>113.69199999999999</v>
      </c>
      <c r="J38" s="127">
        <v>143.21600000000001</v>
      </c>
      <c r="K38" s="127">
        <v>139.08600000000001</v>
      </c>
      <c r="L38" s="127">
        <v>610</v>
      </c>
      <c r="M38" s="127">
        <f t="shared" si="13"/>
        <v>15.774000000000001</v>
      </c>
      <c r="N38" s="116">
        <f t="shared" si="14"/>
        <v>102.58590163934427</v>
      </c>
      <c r="O38" s="127">
        <f t="shared" si="15"/>
        <v>708.33333333333326</v>
      </c>
      <c r="P38" s="127">
        <f t="shared" si="16"/>
        <v>-82.559333333333257</v>
      </c>
      <c r="Q38" s="116">
        <f t="shared" si="17"/>
        <v>88.344564705882362</v>
      </c>
      <c r="R38" s="116">
        <f t="shared" si="18"/>
        <v>36.810235294117646</v>
      </c>
      <c r="S38" s="127">
        <v>520.50200000000007</v>
      </c>
      <c r="T38" s="128">
        <f t="shared" si="19"/>
        <v>105.27199999999993</v>
      </c>
      <c r="U38" s="129">
        <f t="shared" si="36"/>
        <v>120.2250903935047</v>
      </c>
      <c r="V38" s="129">
        <f>U38-100</f>
        <v>20.225090393504701</v>
      </c>
      <c r="W38" s="58"/>
    </row>
    <row r="39" spans="1:25" s="60" customFormat="1" ht="42" customHeight="1" x14ac:dyDescent="0.25">
      <c r="A39" s="57" t="s">
        <v>163</v>
      </c>
      <c r="B39" s="90" t="s">
        <v>59</v>
      </c>
      <c r="C39" s="46" t="s">
        <v>60</v>
      </c>
      <c r="D39" s="127">
        <v>38000</v>
      </c>
      <c r="E39" s="127">
        <v>38000</v>
      </c>
      <c r="F39" s="127">
        <f t="shared" si="12"/>
        <v>21104.550999999999</v>
      </c>
      <c r="G39" s="127">
        <v>1766.579</v>
      </c>
      <c r="H39" s="127">
        <v>5454.4589999999998</v>
      </c>
      <c r="I39" s="127">
        <v>4360.1940000000004</v>
      </c>
      <c r="J39" s="127">
        <v>4659.3469999999998</v>
      </c>
      <c r="K39" s="127">
        <v>4863.9719999999998</v>
      </c>
      <c r="L39" s="127">
        <v>20885</v>
      </c>
      <c r="M39" s="127">
        <f t="shared" si="13"/>
        <v>219.55099999999948</v>
      </c>
      <c r="N39" s="116">
        <f t="shared" si="14"/>
        <v>101.05123773042854</v>
      </c>
      <c r="O39" s="127">
        <f t="shared" si="15"/>
        <v>15833.333333333332</v>
      </c>
      <c r="P39" s="127">
        <f t="shared" si="16"/>
        <v>5271.2176666666674</v>
      </c>
      <c r="Q39" s="116">
        <f t="shared" si="17"/>
        <v>133.29190105263157</v>
      </c>
      <c r="R39" s="116">
        <f t="shared" si="18"/>
        <v>55.538292105263153</v>
      </c>
      <c r="S39" s="127">
        <v>14933.972999999998</v>
      </c>
      <c r="T39" s="128">
        <f t="shared" si="19"/>
        <v>6170.5780000000013</v>
      </c>
      <c r="U39" s="129">
        <f t="shared" si="36"/>
        <v>141.31906492666087</v>
      </c>
      <c r="V39" s="129">
        <f>U39-100</f>
        <v>41.319064926660872</v>
      </c>
      <c r="W39" s="59"/>
    </row>
    <row r="40" spans="1:25" s="60" customFormat="1" ht="39" x14ac:dyDescent="0.25">
      <c r="A40" s="57" t="s">
        <v>164</v>
      </c>
      <c r="B40" s="90" t="s">
        <v>76</v>
      </c>
      <c r="C40" s="46" t="s">
        <v>73</v>
      </c>
      <c r="D40" s="127">
        <v>850</v>
      </c>
      <c r="E40" s="127">
        <v>850</v>
      </c>
      <c r="F40" s="127">
        <f t="shared" si="12"/>
        <v>454.69999999999993</v>
      </c>
      <c r="G40" s="127">
        <v>90.97</v>
      </c>
      <c r="H40" s="127">
        <v>92.99</v>
      </c>
      <c r="I40" s="127">
        <v>106.73</v>
      </c>
      <c r="J40" s="127">
        <v>85.35</v>
      </c>
      <c r="K40" s="127">
        <v>78.66</v>
      </c>
      <c r="L40" s="127">
        <v>442</v>
      </c>
      <c r="M40" s="127">
        <f t="shared" si="13"/>
        <v>12.699999999999932</v>
      </c>
      <c r="N40" s="116">
        <f t="shared" si="14"/>
        <v>102.8733031674208</v>
      </c>
      <c r="O40" s="127">
        <f t="shared" si="15"/>
        <v>354.16666666666663</v>
      </c>
      <c r="P40" s="127">
        <f t="shared" si="16"/>
        <v>100.5333333333333</v>
      </c>
      <c r="Q40" s="116">
        <f t="shared" si="17"/>
        <v>128.38588235294117</v>
      </c>
      <c r="R40" s="116">
        <f t="shared" si="18"/>
        <v>53.494117647058815</v>
      </c>
      <c r="S40" s="127">
        <v>308.84399999999999</v>
      </c>
      <c r="T40" s="128">
        <f t="shared" ref="T40:T67" si="40">F40-S40</f>
        <v>145.85599999999994</v>
      </c>
      <c r="U40" s="129">
        <f t="shared" si="36"/>
        <v>147.22643146701893</v>
      </c>
    </row>
    <row r="41" spans="1:25" s="60" customFormat="1" ht="97.5" x14ac:dyDescent="0.25">
      <c r="A41" s="57" t="s">
        <v>165</v>
      </c>
      <c r="B41" s="91" t="s">
        <v>75</v>
      </c>
      <c r="C41" s="46" t="s">
        <v>74</v>
      </c>
      <c r="D41" s="127">
        <v>116</v>
      </c>
      <c r="E41" s="127">
        <v>116</v>
      </c>
      <c r="F41" s="127">
        <f t="shared" si="12"/>
        <v>54</v>
      </c>
      <c r="G41" s="127">
        <v>3.03</v>
      </c>
      <c r="H41" s="127">
        <v>17.96</v>
      </c>
      <c r="I41" s="127">
        <v>20.9</v>
      </c>
      <c r="J41" s="127">
        <v>4.54</v>
      </c>
      <c r="K41" s="127">
        <v>7.57</v>
      </c>
      <c r="L41" s="127">
        <v>49.3</v>
      </c>
      <c r="M41" s="127">
        <f t="shared" si="13"/>
        <v>4.7000000000000028</v>
      </c>
      <c r="N41" s="116">
        <f t="shared" si="14"/>
        <v>109.53346855983774</v>
      </c>
      <c r="O41" s="127">
        <f t="shared" si="15"/>
        <v>48.333333333333329</v>
      </c>
      <c r="P41" s="127">
        <f t="shared" si="16"/>
        <v>5.6666666666666714</v>
      </c>
      <c r="Q41" s="116">
        <f t="shared" si="17"/>
        <v>111.72413793103448</v>
      </c>
      <c r="R41" s="116">
        <f t="shared" si="18"/>
        <v>46.551724137931032</v>
      </c>
      <c r="S41" s="127">
        <v>42.400000000000006</v>
      </c>
      <c r="T41" s="128">
        <f t="shared" si="40"/>
        <v>11.599999999999994</v>
      </c>
      <c r="U41" s="129">
        <f t="shared" si="36"/>
        <v>127.35849056603772</v>
      </c>
    </row>
    <row r="42" spans="1:25" s="56" customFormat="1" ht="39" x14ac:dyDescent="0.25">
      <c r="A42" s="138">
        <v>16</v>
      </c>
      <c r="B42" s="110" t="s">
        <v>202</v>
      </c>
      <c r="C42" s="53" t="s">
        <v>201</v>
      </c>
      <c r="D42" s="126">
        <v>0</v>
      </c>
      <c r="E42" s="126">
        <v>0</v>
      </c>
      <c r="F42" s="126">
        <f t="shared" si="12"/>
        <v>5025</v>
      </c>
      <c r="G42" s="126">
        <v>0</v>
      </c>
      <c r="H42" s="126">
        <v>0</v>
      </c>
      <c r="I42" s="126">
        <v>0</v>
      </c>
      <c r="J42" s="126">
        <v>0</v>
      </c>
      <c r="K42" s="126">
        <v>5025</v>
      </c>
      <c r="L42" s="126"/>
      <c r="M42" s="126">
        <f t="shared" si="13"/>
        <v>5025</v>
      </c>
      <c r="N42" s="115"/>
      <c r="O42" s="126">
        <f t="shared" si="15"/>
        <v>0</v>
      </c>
      <c r="P42" s="126">
        <f t="shared" si="16"/>
        <v>5025</v>
      </c>
      <c r="Q42" s="115"/>
      <c r="R42" s="115"/>
      <c r="S42" s="126">
        <v>0</v>
      </c>
      <c r="T42" s="83">
        <f t="shared" si="40"/>
        <v>5025</v>
      </c>
      <c r="U42" s="84"/>
    </row>
    <row r="43" spans="1:25" s="56" customFormat="1" ht="58.5" x14ac:dyDescent="0.25">
      <c r="A43" s="138">
        <v>17</v>
      </c>
      <c r="B43" s="110" t="s">
        <v>35</v>
      </c>
      <c r="C43" s="53" t="s">
        <v>19</v>
      </c>
      <c r="D43" s="126">
        <v>12000</v>
      </c>
      <c r="E43" s="126">
        <v>12000</v>
      </c>
      <c r="F43" s="126">
        <f t="shared" si="12"/>
        <v>4563.9690000000001</v>
      </c>
      <c r="G43" s="126">
        <v>1306.3779999999999</v>
      </c>
      <c r="H43" s="126">
        <v>690.69100000000003</v>
      </c>
      <c r="I43" s="126">
        <v>857.34799999999996</v>
      </c>
      <c r="J43" s="126">
        <v>931.36300000000006</v>
      </c>
      <c r="K43" s="126">
        <v>778.18899999999996</v>
      </c>
      <c r="L43" s="126">
        <v>4492</v>
      </c>
      <c r="M43" s="126">
        <f t="shared" si="13"/>
        <v>71.969000000000051</v>
      </c>
      <c r="N43" s="115">
        <f t="shared" si="14"/>
        <v>101.60215939447907</v>
      </c>
      <c r="O43" s="126">
        <f t="shared" si="15"/>
        <v>5000</v>
      </c>
      <c r="P43" s="126">
        <f t="shared" si="16"/>
        <v>-436.03099999999995</v>
      </c>
      <c r="Q43" s="115">
        <f t="shared" si="17"/>
        <v>91.279380000000003</v>
      </c>
      <c r="R43" s="115">
        <f t="shared" si="18"/>
        <v>38.033074999999997</v>
      </c>
      <c r="S43" s="126">
        <v>8297.6279999999988</v>
      </c>
      <c r="T43" s="83">
        <f t="shared" si="40"/>
        <v>-3733.6589999999987</v>
      </c>
      <c r="U43" s="84">
        <f t="shared" si="36"/>
        <v>55.003297327862867</v>
      </c>
      <c r="V43" s="56">
        <v>3831.8429999999998</v>
      </c>
    </row>
    <row r="44" spans="1:25" s="56" customFormat="1" ht="23.25" x14ac:dyDescent="0.25">
      <c r="A44" s="138">
        <f t="shared" ref="A44:A50" si="41">A43+1</f>
        <v>18</v>
      </c>
      <c r="B44" s="61" t="s">
        <v>54</v>
      </c>
      <c r="C44" s="53" t="s">
        <v>15</v>
      </c>
      <c r="D44" s="126">
        <v>590.10500000000002</v>
      </c>
      <c r="E44" s="126">
        <v>590.10500000000002</v>
      </c>
      <c r="F44" s="126">
        <f t="shared" si="12"/>
        <v>477.40999999999997</v>
      </c>
      <c r="G44" s="126">
        <v>41.896999999999998</v>
      </c>
      <c r="H44" s="126">
        <v>55.649000000000001</v>
      </c>
      <c r="I44" s="126">
        <v>129.727</v>
      </c>
      <c r="J44" s="126">
        <v>181.876</v>
      </c>
      <c r="K44" s="126">
        <v>68.260999999999996</v>
      </c>
      <c r="L44" s="126">
        <v>473.96100000000001</v>
      </c>
      <c r="M44" s="126">
        <f t="shared" si="13"/>
        <v>3.4489999999999554</v>
      </c>
      <c r="N44" s="115">
        <f t="shared" si="14"/>
        <v>100.72769700460586</v>
      </c>
      <c r="O44" s="126">
        <f t="shared" si="15"/>
        <v>245.87708333333336</v>
      </c>
      <c r="P44" s="126">
        <f t="shared" si="16"/>
        <v>231.53291666666661</v>
      </c>
      <c r="Q44" s="115">
        <f t="shared" si="17"/>
        <v>194.16612297811403</v>
      </c>
      <c r="R44" s="115">
        <f t="shared" si="18"/>
        <v>80.902551240880854</v>
      </c>
      <c r="S44" s="126">
        <v>334.86699999999996</v>
      </c>
      <c r="T44" s="83">
        <f t="shared" si="40"/>
        <v>142.54300000000001</v>
      </c>
      <c r="U44" s="84">
        <f t="shared" si="36"/>
        <v>142.56704900751643</v>
      </c>
      <c r="V44" s="55">
        <f>100-U44</f>
        <v>-42.567049007516431</v>
      </c>
    </row>
    <row r="45" spans="1:25" s="56" customFormat="1" ht="80.25" customHeight="1" x14ac:dyDescent="0.25">
      <c r="A45" s="138">
        <f t="shared" si="41"/>
        <v>19</v>
      </c>
      <c r="B45" s="61" t="s">
        <v>91</v>
      </c>
      <c r="C45" s="53" t="s">
        <v>90</v>
      </c>
      <c r="D45" s="126">
        <v>31</v>
      </c>
      <c r="E45" s="126">
        <v>31</v>
      </c>
      <c r="F45" s="126">
        <f t="shared" si="12"/>
        <v>6.8310000000000004</v>
      </c>
      <c r="G45" s="126">
        <v>0.56399999999999995</v>
      </c>
      <c r="H45" s="126">
        <v>0</v>
      </c>
      <c r="I45" s="126">
        <v>6.2670000000000003</v>
      </c>
      <c r="J45" s="126">
        <v>0</v>
      </c>
      <c r="K45" s="126">
        <v>0</v>
      </c>
      <c r="L45" s="126">
        <v>6.76</v>
      </c>
      <c r="M45" s="126">
        <f t="shared" si="13"/>
        <v>7.1000000000000618E-2</v>
      </c>
      <c r="N45" s="115">
        <f t="shared" si="14"/>
        <v>101.05029585798817</v>
      </c>
      <c r="O45" s="126">
        <f t="shared" si="15"/>
        <v>12.916666666666668</v>
      </c>
      <c r="P45" s="126">
        <f t="shared" si="16"/>
        <v>-6.0856666666666674</v>
      </c>
      <c r="Q45" s="115">
        <f t="shared" si="17"/>
        <v>52.885161290322579</v>
      </c>
      <c r="R45" s="115">
        <f t="shared" si="18"/>
        <v>22.035483870967742</v>
      </c>
      <c r="S45" s="126">
        <v>7.2810000000000006</v>
      </c>
      <c r="T45" s="83">
        <f t="shared" si="40"/>
        <v>-0.45000000000000018</v>
      </c>
      <c r="U45" s="84">
        <f t="shared" si="36"/>
        <v>93.819530284301607</v>
      </c>
    </row>
    <row r="46" spans="1:25" s="56" customFormat="1" ht="28.5" customHeight="1" x14ac:dyDescent="0.25">
      <c r="A46" s="138">
        <f t="shared" si="41"/>
        <v>20</v>
      </c>
      <c r="B46" s="72" t="s">
        <v>61</v>
      </c>
      <c r="C46" s="31" t="s">
        <v>62</v>
      </c>
      <c r="D46" s="126">
        <v>500</v>
      </c>
      <c r="E46" s="126">
        <v>500</v>
      </c>
      <c r="F46" s="126">
        <f t="shared" si="12"/>
        <v>0</v>
      </c>
      <c r="G46" s="126">
        <v>0</v>
      </c>
      <c r="H46" s="126">
        <v>0</v>
      </c>
      <c r="I46" s="126">
        <v>0</v>
      </c>
      <c r="J46" s="126">
        <v>0</v>
      </c>
      <c r="K46" s="126">
        <v>0</v>
      </c>
      <c r="L46" s="126">
        <v>0</v>
      </c>
      <c r="M46" s="126">
        <f t="shared" si="13"/>
        <v>0</v>
      </c>
      <c r="N46" s="115"/>
      <c r="O46" s="126">
        <f t="shared" si="15"/>
        <v>208.33333333333331</v>
      </c>
      <c r="P46" s="126">
        <f t="shared" si="16"/>
        <v>-208.33333333333331</v>
      </c>
      <c r="Q46" s="115">
        <f t="shared" si="17"/>
        <v>0</v>
      </c>
      <c r="R46" s="115">
        <f t="shared" si="18"/>
        <v>0</v>
      </c>
      <c r="S46" s="126">
        <v>2.3719999999999999</v>
      </c>
      <c r="T46" s="83">
        <f t="shared" si="40"/>
        <v>-2.3719999999999999</v>
      </c>
      <c r="U46" s="84"/>
    </row>
    <row r="47" spans="1:25" s="56" customFormat="1" ht="27" customHeight="1" x14ac:dyDescent="0.25">
      <c r="A47" s="138">
        <f t="shared" si="41"/>
        <v>21</v>
      </c>
      <c r="B47" s="61" t="s">
        <v>8</v>
      </c>
      <c r="C47" s="53" t="s">
        <v>20</v>
      </c>
      <c r="D47" s="126">
        <v>1700</v>
      </c>
      <c r="E47" s="126">
        <f>1700+2100</f>
        <v>3800</v>
      </c>
      <c r="F47" s="126">
        <f t="shared" si="12"/>
        <v>3496.8289999999997</v>
      </c>
      <c r="G47" s="126">
        <v>1390.5519999999999</v>
      </c>
      <c r="H47" s="126">
        <v>786.19500000000005</v>
      </c>
      <c r="I47" s="126">
        <v>844.37199999999996</v>
      </c>
      <c r="J47" s="126">
        <v>195.05799999999999</v>
      </c>
      <c r="K47" s="126">
        <v>280.65199999999999</v>
      </c>
      <c r="L47" s="126">
        <v>3468.8</v>
      </c>
      <c r="M47" s="126">
        <f t="shared" si="13"/>
        <v>28.028999999999542</v>
      </c>
      <c r="N47" s="115">
        <f t="shared" si="14"/>
        <v>100.80803159594095</v>
      </c>
      <c r="O47" s="126">
        <f t="shared" si="15"/>
        <v>1583.3333333333335</v>
      </c>
      <c r="P47" s="126">
        <f t="shared" si="16"/>
        <v>1913.4956666666662</v>
      </c>
      <c r="Q47" s="115">
        <f t="shared" si="17"/>
        <v>220.85235789473677</v>
      </c>
      <c r="R47" s="115">
        <f t="shared" si="18"/>
        <v>92.021815789473678</v>
      </c>
      <c r="S47" s="126">
        <v>1775.6899999999998</v>
      </c>
      <c r="T47" s="83">
        <f t="shared" si="40"/>
        <v>1721.1389999999999</v>
      </c>
      <c r="U47" s="84">
        <f>F47/S47*100</f>
        <v>196.9278984507431</v>
      </c>
      <c r="Y47" s="56">
        <v>246438.04</v>
      </c>
    </row>
    <row r="48" spans="1:25" s="56" customFormat="1" ht="141" customHeight="1" x14ac:dyDescent="0.25">
      <c r="A48" s="138">
        <f t="shared" si="41"/>
        <v>22</v>
      </c>
      <c r="B48" s="61" t="s">
        <v>53</v>
      </c>
      <c r="C48" s="53" t="s">
        <v>47</v>
      </c>
      <c r="D48" s="126">
        <v>2500</v>
      </c>
      <c r="E48" s="126">
        <v>2500</v>
      </c>
      <c r="F48" s="126">
        <f t="shared" si="12"/>
        <v>1808.2570000000001</v>
      </c>
      <c r="G48" s="126">
        <v>126.11199999999999</v>
      </c>
      <c r="H48" s="126">
        <v>857.42499999999995</v>
      </c>
      <c r="I48" s="126">
        <v>144.45400000000001</v>
      </c>
      <c r="J48" s="126">
        <v>246.708</v>
      </c>
      <c r="K48" s="126">
        <v>433.55799999999999</v>
      </c>
      <c r="L48" s="126">
        <v>1731</v>
      </c>
      <c r="M48" s="126">
        <f t="shared" si="13"/>
        <v>77.257000000000062</v>
      </c>
      <c r="N48" s="115">
        <f t="shared" si="14"/>
        <v>104.4631426920855</v>
      </c>
      <c r="O48" s="126">
        <f t="shared" si="15"/>
        <v>1041.6666666666667</v>
      </c>
      <c r="P48" s="126">
        <f t="shared" si="16"/>
        <v>766.59033333333332</v>
      </c>
      <c r="Q48" s="115">
        <f t="shared" si="17"/>
        <v>173.59267199999999</v>
      </c>
      <c r="R48" s="115">
        <f t="shared" si="18"/>
        <v>72.330280000000002</v>
      </c>
      <c r="S48" s="126">
        <v>6187.0929999999998</v>
      </c>
      <c r="T48" s="83">
        <f t="shared" si="40"/>
        <v>-4378.8359999999993</v>
      </c>
      <c r="U48" s="84">
        <f>F48/S48*100</f>
        <v>29.226277995174794</v>
      </c>
    </row>
    <row r="49" spans="1:28" s="56" customFormat="1" ht="85.5" customHeight="1" x14ac:dyDescent="0.25">
      <c r="A49" s="138">
        <f t="shared" si="41"/>
        <v>23</v>
      </c>
      <c r="B49" s="61" t="s">
        <v>116</v>
      </c>
      <c r="C49" s="53" t="s">
        <v>115</v>
      </c>
      <c r="D49" s="126">
        <v>0.25</v>
      </c>
      <c r="E49" s="126">
        <v>0.25</v>
      </c>
      <c r="F49" s="126">
        <f t="shared" si="12"/>
        <v>6.234</v>
      </c>
      <c r="G49" s="126">
        <v>0</v>
      </c>
      <c r="H49" s="126">
        <v>0</v>
      </c>
      <c r="I49" s="126">
        <v>0</v>
      </c>
      <c r="J49" s="126">
        <v>0</v>
      </c>
      <c r="K49" s="126">
        <v>6.234</v>
      </c>
      <c r="L49" s="126">
        <v>0.25</v>
      </c>
      <c r="M49" s="126">
        <f t="shared" si="13"/>
        <v>5.984</v>
      </c>
      <c r="N49" s="115"/>
      <c r="O49" s="126">
        <f t="shared" si="15"/>
        <v>0.10416666666666666</v>
      </c>
      <c r="P49" s="126">
        <f t="shared" si="16"/>
        <v>6.129833333333333</v>
      </c>
      <c r="Q49" s="115">
        <f t="shared" si="17"/>
        <v>5984.64</v>
      </c>
      <c r="R49" s="115">
        <f t="shared" si="18"/>
        <v>2493.6</v>
      </c>
      <c r="S49" s="126">
        <v>0</v>
      </c>
      <c r="T49" s="83">
        <f t="shared" si="40"/>
        <v>6.234</v>
      </c>
      <c r="U49" s="84"/>
      <c r="W49" s="54">
        <f>F51-F47</f>
        <v>2222613.7920000004</v>
      </c>
      <c r="X49" s="54">
        <f>S51-S47</f>
        <v>2142392.36</v>
      </c>
      <c r="Y49" s="55">
        <f>W49/X49</f>
        <v>1.0374447899916897</v>
      </c>
    </row>
    <row r="50" spans="1:28" s="56" customFormat="1" ht="39" x14ac:dyDescent="0.25">
      <c r="A50" s="138">
        <f t="shared" si="41"/>
        <v>24</v>
      </c>
      <c r="B50" s="61" t="s">
        <v>82</v>
      </c>
      <c r="C50" s="53" t="s">
        <v>81</v>
      </c>
      <c r="D50" s="126">
        <v>0.25</v>
      </c>
      <c r="E50" s="126">
        <v>0.25</v>
      </c>
      <c r="F50" s="126">
        <f t="shared" si="12"/>
        <v>0</v>
      </c>
      <c r="G50" s="126">
        <v>0</v>
      </c>
      <c r="H50" s="126">
        <v>0</v>
      </c>
      <c r="I50" s="126">
        <v>0</v>
      </c>
      <c r="J50" s="126">
        <v>0</v>
      </c>
      <c r="K50" s="126">
        <v>0</v>
      </c>
      <c r="L50" s="126">
        <v>0</v>
      </c>
      <c r="M50" s="126">
        <f t="shared" si="13"/>
        <v>0</v>
      </c>
      <c r="N50" s="115"/>
      <c r="O50" s="126">
        <f t="shared" si="15"/>
        <v>0.10416666666666666</v>
      </c>
      <c r="P50" s="126">
        <f t="shared" si="16"/>
        <v>-0.10416666666666666</v>
      </c>
      <c r="Q50" s="115">
        <f t="shared" si="17"/>
        <v>0</v>
      </c>
      <c r="R50" s="115">
        <f t="shared" si="18"/>
        <v>0</v>
      </c>
      <c r="S50" s="126">
        <v>0</v>
      </c>
      <c r="T50" s="83">
        <f t="shared" si="40"/>
        <v>0</v>
      </c>
      <c r="U50" s="84"/>
    </row>
    <row r="51" spans="1:28" s="163" customFormat="1" ht="28.5" customHeight="1" x14ac:dyDescent="0.3">
      <c r="A51" s="159" t="s">
        <v>148</v>
      </c>
      <c r="B51" s="159"/>
      <c r="C51" s="159"/>
      <c r="D51" s="160">
        <f>D7+D8+D9+D14+D22+D28+D29+D30+D31+D32+D33+D34+D37+D43+D44+D45+D46+D47+D48+D50+D49+D36+D35</f>
        <v>5219750.3770000003</v>
      </c>
      <c r="E51" s="160">
        <f>E7+E8+E9+E14+E22+E28+E29+E30+E31+E32+E33+E34+E37+E43+E44+E45+E46+E47+E48+E50+E49+E36+E35</f>
        <v>5285212.3010000009</v>
      </c>
      <c r="F51" s="160">
        <f t="shared" si="12"/>
        <v>2226110.6210000003</v>
      </c>
      <c r="G51" s="160">
        <f>G7+G8+G9+G14+G22+G28+G29+G30+G31+G32+G33+G34+G37+G43+G44+G45+G46+G47+G48+G50+G49+G36+G35+G21</f>
        <v>426745.84000000014</v>
      </c>
      <c r="H51" s="160">
        <f>H7+H8+H9+H14+H22+H28+H29+H30+H31+H32+H33+H34+H37+H43+H44+H45+H46+H47+H48+H50+H49+H36+H35+H21</f>
        <v>445489.51299999992</v>
      </c>
      <c r="I51" s="160">
        <f>I7+I8+I9+I14+I22+I28+I29+I30+I31+I32+I33+I34+I37+I43+I44+I45+I46+I47+I48+I50+I49+I36+I35+I21</f>
        <v>377705.67400000012</v>
      </c>
      <c r="J51" s="160">
        <f>J7+J8+J9+J14+J22+J28+J29+J30+J31+J32+J33+J34+J37+J43+J44+J45+J46+J47+J48+J50+J49+J36+J35+J21</f>
        <v>481176.41999999987</v>
      </c>
      <c r="K51" s="160">
        <f>K7+K8+K9+K14+K22+K28+K29+K30+K31+K32+K33+K34+K37+K43+K44+K45+K46+K47+K48+K50+K49+K36+K35+K21+K42</f>
        <v>494993.17400000006</v>
      </c>
      <c r="L51" s="160">
        <f>L7+L8+L9+L14+L22+L28+L29+L30+L31+L32+L33+L34+L37+L43+L44+L45+L46+L47+L48+L50+L49+L36+L35</f>
        <v>2074846.689</v>
      </c>
      <c r="M51" s="160">
        <f t="shared" si="13"/>
        <v>151263.93200000026</v>
      </c>
      <c r="N51" s="161">
        <f t="shared" si="14"/>
        <v>107.29036669561856</v>
      </c>
      <c r="O51" s="160">
        <f>O7+O8+O9+O14+O22+O28+O29+O30+O31+O32+O33+O34+O37+O43+O44+O45+O46+O47+O48+O50+O49+O36+O35</f>
        <v>2202171.7920833332</v>
      </c>
      <c r="P51" s="160">
        <f t="shared" si="16"/>
        <v>23938.828916667029</v>
      </c>
      <c r="Q51" s="161">
        <f t="shared" si="17"/>
        <v>101.08705546963802</v>
      </c>
      <c r="R51" s="161">
        <f>F51/E51*100</f>
        <v>42.119606445682493</v>
      </c>
      <c r="S51" s="160">
        <f>S7+S8+S9+S14+S22+S28+S29+S30+S31+S32+S33+S34+S37+S43+S44+S45+S46+S47+S48+S50+S49+S36+S21+S35</f>
        <v>2144168.0499999998</v>
      </c>
      <c r="T51" s="62">
        <f t="shared" si="40"/>
        <v>81942.571000000462</v>
      </c>
      <c r="U51" s="63">
        <f>F51/S51*100</f>
        <v>103.82164872757993</v>
      </c>
      <c r="V51" s="162">
        <v>2144168.0499999998</v>
      </c>
      <c r="W51" s="162">
        <f>V51-S51</f>
        <v>0</v>
      </c>
      <c r="Z51" s="162" t="e">
        <f>#REF!-#REF!-#REF!</f>
        <v>#REF!</v>
      </c>
      <c r="AB51" s="163">
        <v>294547.38299999997</v>
      </c>
    </row>
    <row r="52" spans="1:28" s="9" customFormat="1" ht="76.5" customHeight="1" x14ac:dyDescent="0.25">
      <c r="A52" s="23">
        <v>1</v>
      </c>
      <c r="B52" s="139" t="s">
        <v>174</v>
      </c>
      <c r="C52" s="24" t="s">
        <v>175</v>
      </c>
      <c r="D52" s="85">
        <v>0</v>
      </c>
      <c r="E52" s="85">
        <v>0</v>
      </c>
      <c r="F52" s="126">
        <f t="shared" si="12"/>
        <v>0</v>
      </c>
      <c r="G52" s="126">
        <v>0</v>
      </c>
      <c r="H52" s="126">
        <v>0</v>
      </c>
      <c r="I52" s="126">
        <v>0</v>
      </c>
      <c r="J52" s="126">
        <v>0</v>
      </c>
      <c r="K52" s="126">
        <v>0</v>
      </c>
      <c r="L52" s="126">
        <v>0</v>
      </c>
      <c r="M52" s="126">
        <f t="shared" si="13"/>
        <v>0</v>
      </c>
      <c r="N52" s="115"/>
      <c r="O52" s="126">
        <f>L52</f>
        <v>0</v>
      </c>
      <c r="P52" s="126">
        <f t="shared" si="16"/>
        <v>0</v>
      </c>
      <c r="Q52" s="115"/>
      <c r="R52" s="115"/>
      <c r="S52" s="126">
        <v>4581.5</v>
      </c>
      <c r="T52" s="83">
        <f t="shared" ref="T52" si="42">F52-S52</f>
        <v>-4581.5</v>
      </c>
      <c r="U52" s="84">
        <f>F52/S52*100</f>
        <v>0</v>
      </c>
      <c r="V52" s="34"/>
      <c r="W52" s="34"/>
      <c r="X52" s="34"/>
      <c r="Y52" s="36"/>
    </row>
    <row r="53" spans="1:28" s="9" customFormat="1" ht="30.75" customHeight="1" x14ac:dyDescent="0.25">
      <c r="A53" s="23">
        <f>A52+1</f>
        <v>2</v>
      </c>
      <c r="B53" s="139" t="s">
        <v>134</v>
      </c>
      <c r="C53" s="24" t="s">
        <v>55</v>
      </c>
      <c r="D53" s="85">
        <v>879086.1</v>
      </c>
      <c r="E53" s="85">
        <v>879086.1</v>
      </c>
      <c r="F53" s="126">
        <f t="shared" si="12"/>
        <v>350649.9</v>
      </c>
      <c r="G53" s="126">
        <v>63808.4</v>
      </c>
      <c r="H53" s="126">
        <v>63802.3</v>
      </c>
      <c r="I53" s="126">
        <v>68537.3</v>
      </c>
      <c r="J53" s="126">
        <v>77227.5</v>
      </c>
      <c r="K53" s="126">
        <v>77274.399999999994</v>
      </c>
      <c r="L53" s="126">
        <v>350649.9</v>
      </c>
      <c r="M53" s="126">
        <f t="shared" si="13"/>
        <v>0</v>
      </c>
      <c r="N53" s="115">
        <f t="shared" si="14"/>
        <v>100</v>
      </c>
      <c r="O53" s="126">
        <f>L53</f>
        <v>350649.9</v>
      </c>
      <c r="P53" s="126">
        <f t="shared" si="16"/>
        <v>0</v>
      </c>
      <c r="Q53" s="115">
        <f t="shared" si="17"/>
        <v>100</v>
      </c>
      <c r="R53" s="115">
        <f t="shared" si="18"/>
        <v>39.888004144303956</v>
      </c>
      <c r="S53" s="126">
        <v>306965.80000000005</v>
      </c>
      <c r="T53" s="83">
        <f t="shared" si="40"/>
        <v>43684.099999999977</v>
      </c>
      <c r="U53" s="84">
        <f>F53/S53*100</f>
        <v>114.23093386950598</v>
      </c>
      <c r="V53" s="34"/>
      <c r="W53" s="34"/>
      <c r="X53" s="34"/>
      <c r="Y53" s="36"/>
    </row>
    <row r="54" spans="1:28" s="9" customFormat="1" ht="30.75" customHeight="1" x14ac:dyDescent="0.25">
      <c r="A54" s="23">
        <f t="shared" ref="A54:A59" si="43">A53+1</f>
        <v>3</v>
      </c>
      <c r="B54" s="139" t="s">
        <v>168</v>
      </c>
      <c r="C54" s="24" t="s">
        <v>167</v>
      </c>
      <c r="D54" s="85"/>
      <c r="E54" s="85">
        <v>2856.1129999999998</v>
      </c>
      <c r="F54" s="126">
        <f t="shared" si="12"/>
        <v>2126.0950000000003</v>
      </c>
      <c r="G54" s="126">
        <v>0</v>
      </c>
      <c r="H54" s="126">
        <v>561.92399999999998</v>
      </c>
      <c r="I54" s="126">
        <v>0</v>
      </c>
      <c r="J54" s="126">
        <v>1564.171</v>
      </c>
      <c r="K54" s="126">
        <v>0</v>
      </c>
      <c r="L54" s="126">
        <v>2856.1129999999998</v>
      </c>
      <c r="M54" s="126">
        <f t="shared" si="13"/>
        <v>-730.01799999999957</v>
      </c>
      <c r="N54" s="115">
        <f t="shared" si="14"/>
        <v>74.440156954574292</v>
      </c>
      <c r="O54" s="126">
        <f>L54</f>
        <v>2856.1129999999998</v>
      </c>
      <c r="P54" s="126">
        <f t="shared" ref="P54" si="44">F54-O54</f>
        <v>-730.01799999999957</v>
      </c>
      <c r="Q54" s="115">
        <f t="shared" ref="Q54" si="45">F54/O54*100</f>
        <v>74.440156954574292</v>
      </c>
      <c r="R54" s="115">
        <f>F54/E54*100</f>
        <v>74.440156954574292</v>
      </c>
      <c r="S54" s="126">
        <v>0</v>
      </c>
      <c r="T54" s="83">
        <f t="shared" si="40"/>
        <v>2126.0950000000003</v>
      </c>
      <c r="U54" s="84"/>
      <c r="V54" s="34"/>
      <c r="W54" s="34"/>
      <c r="X54" s="34"/>
      <c r="Y54" s="36"/>
    </row>
    <row r="55" spans="1:28" s="9" customFormat="1" ht="41.25" customHeight="1" x14ac:dyDescent="0.25">
      <c r="A55" s="23">
        <f t="shared" si="43"/>
        <v>4</v>
      </c>
      <c r="B55" s="140" t="s">
        <v>135</v>
      </c>
      <c r="C55" s="95" t="s">
        <v>112</v>
      </c>
      <c r="D55" s="85">
        <v>23435.05</v>
      </c>
      <c r="E55" s="85">
        <v>23435.05</v>
      </c>
      <c r="F55" s="126">
        <f t="shared" si="12"/>
        <v>9347.625</v>
      </c>
      <c r="G55" s="126">
        <v>1701.0619999999999</v>
      </c>
      <c r="H55" s="126">
        <v>1700.758</v>
      </c>
      <c r="I55" s="126">
        <v>1827.075</v>
      </c>
      <c r="J55" s="126">
        <v>2058.7849999999999</v>
      </c>
      <c r="K55" s="126">
        <v>2059.9450000000002</v>
      </c>
      <c r="L55" s="126">
        <v>9347.625</v>
      </c>
      <c r="M55" s="126">
        <f t="shared" si="13"/>
        <v>0</v>
      </c>
      <c r="N55" s="115">
        <f t="shared" si="14"/>
        <v>100</v>
      </c>
      <c r="O55" s="126">
        <f t="shared" ref="O55:O62" si="46">L55</f>
        <v>9347.625</v>
      </c>
      <c r="P55" s="126">
        <f t="shared" si="16"/>
        <v>0</v>
      </c>
      <c r="Q55" s="115">
        <f t="shared" si="17"/>
        <v>100</v>
      </c>
      <c r="R55" s="115">
        <f t="shared" si="18"/>
        <v>39.88736955969798</v>
      </c>
      <c r="S55" s="126">
        <v>7223.3380000000006</v>
      </c>
      <c r="T55" s="83">
        <f t="shared" si="40"/>
        <v>2124.2869999999994</v>
      </c>
      <c r="U55" s="84">
        <f>F55/S55*100</f>
        <v>129.40866120344913</v>
      </c>
    </row>
    <row r="56" spans="1:28" s="9" customFormat="1" ht="62.25" customHeight="1" x14ac:dyDescent="0.25">
      <c r="A56" s="23">
        <f t="shared" si="43"/>
        <v>5</v>
      </c>
      <c r="B56" s="140" t="s">
        <v>136</v>
      </c>
      <c r="C56" s="95">
        <v>41051200</v>
      </c>
      <c r="D56" s="85">
        <v>0</v>
      </c>
      <c r="E56" s="85">
        <v>0</v>
      </c>
      <c r="F56" s="126">
        <f t="shared" si="12"/>
        <v>0</v>
      </c>
      <c r="G56" s="126">
        <v>0</v>
      </c>
      <c r="H56" s="126">
        <v>0</v>
      </c>
      <c r="I56" s="126">
        <v>0</v>
      </c>
      <c r="J56" s="126">
        <v>0</v>
      </c>
      <c r="K56" s="126">
        <v>0</v>
      </c>
      <c r="L56" s="126">
        <v>0</v>
      </c>
      <c r="M56" s="126">
        <f t="shared" ref="M56:M58" si="47">F56-L56</f>
        <v>0</v>
      </c>
      <c r="N56" s="115"/>
      <c r="O56" s="126">
        <f t="shared" ref="O56:O58" si="48">L56</f>
        <v>0</v>
      </c>
      <c r="P56" s="126">
        <f t="shared" ref="P56:P58" si="49">F56-O56</f>
        <v>0</v>
      </c>
      <c r="Q56" s="115"/>
      <c r="R56" s="115"/>
      <c r="S56" s="126">
        <v>1089.0900000000001</v>
      </c>
      <c r="T56" s="83">
        <f t="shared" si="40"/>
        <v>-1089.0900000000001</v>
      </c>
      <c r="U56" s="84">
        <f>F56/S56*100</f>
        <v>0</v>
      </c>
    </row>
    <row r="57" spans="1:28" s="9" customFormat="1" ht="63" customHeight="1" x14ac:dyDescent="0.25">
      <c r="A57" s="23">
        <f t="shared" si="43"/>
        <v>6</v>
      </c>
      <c r="B57" s="140" t="s">
        <v>176</v>
      </c>
      <c r="C57" s="95" t="s">
        <v>177</v>
      </c>
      <c r="D57" s="85">
        <v>0</v>
      </c>
      <c r="E57" s="85">
        <v>0</v>
      </c>
      <c r="F57" s="126">
        <f t="shared" si="12"/>
        <v>0</v>
      </c>
      <c r="G57" s="126">
        <v>0</v>
      </c>
      <c r="H57" s="126">
        <v>0</v>
      </c>
      <c r="I57" s="126">
        <v>0</v>
      </c>
      <c r="J57" s="126">
        <v>0</v>
      </c>
      <c r="K57" s="126">
        <v>0</v>
      </c>
      <c r="L57" s="126">
        <v>0</v>
      </c>
      <c r="M57" s="126">
        <f t="shared" si="47"/>
        <v>0</v>
      </c>
      <c r="N57" s="115"/>
      <c r="O57" s="126">
        <f t="shared" si="48"/>
        <v>0</v>
      </c>
      <c r="P57" s="126">
        <f t="shared" si="49"/>
        <v>0</v>
      </c>
      <c r="Q57" s="115"/>
      <c r="R57" s="115"/>
      <c r="S57" s="126">
        <v>2073.1129999999998</v>
      </c>
      <c r="T57" s="83">
        <f t="shared" si="40"/>
        <v>-2073.1129999999998</v>
      </c>
      <c r="U57" s="84"/>
    </row>
    <row r="58" spans="1:28" s="9" customFormat="1" ht="56.25" x14ac:dyDescent="0.25">
      <c r="A58" s="23">
        <f t="shared" si="43"/>
        <v>7</v>
      </c>
      <c r="B58" s="140" t="s">
        <v>186</v>
      </c>
      <c r="C58" s="95">
        <v>41057700</v>
      </c>
      <c r="D58" s="85">
        <v>0</v>
      </c>
      <c r="E58" s="85">
        <v>51.972000000000001</v>
      </c>
      <c r="F58" s="126">
        <f t="shared" si="12"/>
        <v>31.183</v>
      </c>
      <c r="G58" s="126">
        <v>0</v>
      </c>
      <c r="H58" s="126">
        <v>0</v>
      </c>
      <c r="I58" s="126">
        <v>0</v>
      </c>
      <c r="J58" s="126">
        <v>20.788</v>
      </c>
      <c r="K58" s="126">
        <v>10.395</v>
      </c>
      <c r="L58" s="126">
        <v>31.183</v>
      </c>
      <c r="M58" s="126">
        <f t="shared" si="47"/>
        <v>0</v>
      </c>
      <c r="N58" s="115">
        <f t="shared" ref="N58" si="50">F58/L58*100</f>
        <v>100</v>
      </c>
      <c r="O58" s="126">
        <f t="shared" si="48"/>
        <v>31.183</v>
      </c>
      <c r="P58" s="126">
        <f t="shared" si="49"/>
        <v>0</v>
      </c>
      <c r="Q58" s="115">
        <f t="shared" ref="Q58" si="51">F58/O58*100</f>
        <v>100</v>
      </c>
      <c r="R58" s="115">
        <f t="shared" ref="R58" si="52">F58/E58*100</f>
        <v>59.999615177403221</v>
      </c>
      <c r="S58" s="126">
        <v>0</v>
      </c>
      <c r="T58" s="83">
        <f t="shared" si="40"/>
        <v>31.183</v>
      </c>
      <c r="U58" s="84"/>
    </row>
    <row r="59" spans="1:28" s="9" customFormat="1" ht="36.75" customHeight="1" x14ac:dyDescent="0.25">
      <c r="A59" s="23">
        <f t="shared" si="43"/>
        <v>8</v>
      </c>
      <c r="B59" s="141" t="s">
        <v>137</v>
      </c>
      <c r="C59" s="95" t="s">
        <v>104</v>
      </c>
      <c r="D59" s="85">
        <f>SUM(D60:D66)</f>
        <v>1982.317</v>
      </c>
      <c r="E59" s="85">
        <f>SUM(E60:E66)</f>
        <v>2309.16</v>
      </c>
      <c r="F59" s="126">
        <f t="shared" si="12"/>
        <v>958.79299999999989</v>
      </c>
      <c r="G59" s="126">
        <f t="shared" ref="G59:L59" si="53">SUM(G60:G66)</f>
        <v>0</v>
      </c>
      <c r="H59" s="126">
        <f t="shared" si="53"/>
        <v>129.971</v>
      </c>
      <c r="I59" s="126">
        <f t="shared" si="53"/>
        <v>331.63199999999995</v>
      </c>
      <c r="J59" s="126">
        <f t="shared" si="53"/>
        <v>289.63200000000001</v>
      </c>
      <c r="K59" s="126">
        <f t="shared" si="53"/>
        <v>207.55799999999999</v>
      </c>
      <c r="L59" s="126">
        <f t="shared" si="53"/>
        <v>1169.6709999999998</v>
      </c>
      <c r="M59" s="126">
        <f t="shared" si="13"/>
        <v>-210.87799999999993</v>
      </c>
      <c r="N59" s="115">
        <f t="shared" si="14"/>
        <v>81.971169670787773</v>
      </c>
      <c r="O59" s="126">
        <f t="shared" si="46"/>
        <v>1169.6709999999998</v>
      </c>
      <c r="P59" s="126">
        <f t="shared" si="16"/>
        <v>-210.87799999999993</v>
      </c>
      <c r="Q59" s="115">
        <f t="shared" si="17"/>
        <v>81.971169670787773</v>
      </c>
      <c r="R59" s="115">
        <f t="shared" si="18"/>
        <v>41.52128912678203</v>
      </c>
      <c r="S59" s="126">
        <f>SUM(S60:S66)</f>
        <v>1568.3240000000001</v>
      </c>
      <c r="T59" s="83">
        <f t="shared" si="40"/>
        <v>-609.53100000000018</v>
      </c>
      <c r="U59" s="84">
        <f t="shared" ref="U59:U62" si="54">F59/S59*100</f>
        <v>61.134880292592598</v>
      </c>
      <c r="V59" s="126"/>
      <c r="W59" s="126"/>
    </row>
    <row r="60" spans="1:28" s="124" customFormat="1" ht="37.5" x14ac:dyDescent="0.25">
      <c r="A60" s="123" t="s">
        <v>187</v>
      </c>
      <c r="B60" s="142" t="s">
        <v>138</v>
      </c>
      <c r="C60" s="125"/>
      <c r="D60" s="130">
        <v>105</v>
      </c>
      <c r="E60" s="130">
        <v>105</v>
      </c>
      <c r="F60" s="127">
        <f t="shared" si="12"/>
        <v>3.7240000000000002</v>
      </c>
      <c r="G60" s="127">
        <v>0</v>
      </c>
      <c r="H60" s="127">
        <v>3.7240000000000002</v>
      </c>
      <c r="I60" s="127">
        <v>0</v>
      </c>
      <c r="J60" s="127">
        <v>0</v>
      </c>
      <c r="K60" s="127">
        <v>0</v>
      </c>
      <c r="L60" s="127">
        <v>44.116</v>
      </c>
      <c r="M60" s="127">
        <f t="shared" si="13"/>
        <v>-40.391999999999996</v>
      </c>
      <c r="N60" s="116">
        <f t="shared" si="14"/>
        <v>8.4413818115876342</v>
      </c>
      <c r="O60" s="127">
        <f t="shared" si="46"/>
        <v>44.116</v>
      </c>
      <c r="P60" s="127">
        <f t="shared" si="16"/>
        <v>-40.391999999999996</v>
      </c>
      <c r="Q60" s="116">
        <f t="shared" si="17"/>
        <v>8.4413818115876342</v>
      </c>
      <c r="R60" s="116">
        <f t="shared" si="18"/>
        <v>3.5466666666666669</v>
      </c>
      <c r="S60" s="127">
        <v>16.475999999999999</v>
      </c>
      <c r="T60" s="128">
        <f t="shared" si="40"/>
        <v>-12.751999999999999</v>
      </c>
      <c r="U60" s="129">
        <f t="shared" si="54"/>
        <v>22.602573440155378</v>
      </c>
    </row>
    <row r="61" spans="1:28" s="124" customFormat="1" ht="37.5" x14ac:dyDescent="0.25">
      <c r="A61" s="123" t="s">
        <v>188</v>
      </c>
      <c r="B61" s="142" t="s">
        <v>139</v>
      </c>
      <c r="C61" s="125"/>
      <c r="D61" s="130">
        <v>1246.7</v>
      </c>
      <c r="E61" s="130">
        <v>1246.7</v>
      </c>
      <c r="F61" s="127">
        <f t="shared" si="12"/>
        <v>381.92399999999998</v>
      </c>
      <c r="G61" s="127">
        <v>0</v>
      </c>
      <c r="H61" s="127">
        <v>58.584000000000003</v>
      </c>
      <c r="I61" s="127">
        <v>65.713999999999999</v>
      </c>
      <c r="J61" s="127">
        <v>117.73099999999999</v>
      </c>
      <c r="K61" s="127">
        <v>139.89500000000001</v>
      </c>
      <c r="L61" s="127">
        <v>381.92399999999998</v>
      </c>
      <c r="M61" s="127">
        <f t="shared" si="13"/>
        <v>0</v>
      </c>
      <c r="N61" s="116">
        <f t="shared" si="14"/>
        <v>100</v>
      </c>
      <c r="O61" s="127">
        <f t="shared" si="46"/>
        <v>381.92399999999998</v>
      </c>
      <c r="P61" s="127">
        <f t="shared" si="16"/>
        <v>0</v>
      </c>
      <c r="Q61" s="116">
        <f t="shared" si="17"/>
        <v>100</v>
      </c>
      <c r="R61" s="116">
        <f t="shared" si="18"/>
        <v>30.634795861073233</v>
      </c>
      <c r="S61" s="127">
        <v>567.77599999999995</v>
      </c>
      <c r="T61" s="128">
        <f t="shared" si="40"/>
        <v>-185.85199999999998</v>
      </c>
      <c r="U61" s="129">
        <f t="shared" si="54"/>
        <v>67.26666854534183</v>
      </c>
    </row>
    <row r="62" spans="1:28" s="124" customFormat="1" ht="75" x14ac:dyDescent="0.25">
      <c r="A62" s="123" t="s">
        <v>189</v>
      </c>
      <c r="B62" s="142" t="s">
        <v>140</v>
      </c>
      <c r="C62" s="125"/>
      <c r="D62" s="130">
        <v>292.3</v>
      </c>
      <c r="E62" s="130">
        <v>292.3</v>
      </c>
      <c r="F62" s="127">
        <f t="shared" si="12"/>
        <v>146.136</v>
      </c>
      <c r="G62" s="127">
        <v>0</v>
      </c>
      <c r="H62" s="127">
        <v>0</v>
      </c>
      <c r="I62" s="127">
        <v>146.136</v>
      </c>
      <c r="J62" s="127">
        <v>0</v>
      </c>
      <c r="K62" s="127">
        <v>0</v>
      </c>
      <c r="L62" s="127">
        <v>146.136</v>
      </c>
      <c r="M62" s="127">
        <f t="shared" si="13"/>
        <v>0</v>
      </c>
      <c r="N62" s="116">
        <f t="shared" si="14"/>
        <v>100</v>
      </c>
      <c r="O62" s="127">
        <f t="shared" si="46"/>
        <v>146.136</v>
      </c>
      <c r="P62" s="127">
        <f t="shared" si="16"/>
        <v>0</v>
      </c>
      <c r="Q62" s="116">
        <f t="shared" si="17"/>
        <v>100</v>
      </c>
      <c r="R62" s="116">
        <f t="shared" si="18"/>
        <v>49.995210400273685</v>
      </c>
      <c r="S62" s="127">
        <v>146.136</v>
      </c>
      <c r="T62" s="128">
        <f t="shared" si="40"/>
        <v>0</v>
      </c>
      <c r="U62" s="129">
        <f t="shared" si="54"/>
        <v>100</v>
      </c>
    </row>
    <row r="63" spans="1:28" s="124" customFormat="1" ht="56.25" x14ac:dyDescent="0.25">
      <c r="A63" s="123" t="s">
        <v>190</v>
      </c>
      <c r="B63" s="142" t="s">
        <v>185</v>
      </c>
      <c r="C63" s="125"/>
      <c r="D63" s="130">
        <v>0</v>
      </c>
      <c r="E63" s="130">
        <v>0</v>
      </c>
      <c r="F63" s="127">
        <f t="shared" si="12"/>
        <v>0</v>
      </c>
      <c r="G63" s="127">
        <v>0</v>
      </c>
      <c r="H63" s="127">
        <v>0</v>
      </c>
      <c r="I63" s="127">
        <v>0</v>
      </c>
      <c r="J63" s="127">
        <v>0</v>
      </c>
      <c r="K63" s="127">
        <v>0</v>
      </c>
      <c r="L63" s="127">
        <v>0</v>
      </c>
      <c r="M63" s="127">
        <f t="shared" ref="M63" si="55">F63-L63</f>
        <v>0</v>
      </c>
      <c r="N63" s="116"/>
      <c r="O63" s="127">
        <f t="shared" ref="O63" si="56">L63</f>
        <v>0</v>
      </c>
      <c r="P63" s="127">
        <f t="shared" ref="P63" si="57">F63-O63</f>
        <v>0</v>
      </c>
      <c r="Q63" s="116"/>
      <c r="R63" s="116"/>
      <c r="S63" s="127">
        <v>837.93600000000004</v>
      </c>
      <c r="T63" s="128">
        <f t="shared" si="40"/>
        <v>-837.93600000000004</v>
      </c>
      <c r="U63" s="129"/>
    </row>
    <row r="64" spans="1:28" s="124" customFormat="1" ht="58.5" customHeight="1" x14ac:dyDescent="0.25">
      <c r="A64" s="123" t="s">
        <v>191</v>
      </c>
      <c r="B64" s="142" t="s">
        <v>150</v>
      </c>
      <c r="C64" s="125"/>
      <c r="D64" s="130">
        <v>338.31700000000001</v>
      </c>
      <c r="E64" s="130">
        <v>338.31700000000001</v>
      </c>
      <c r="F64" s="127">
        <f>SUM(G64:K64)</f>
        <v>270.65199999999999</v>
      </c>
      <c r="G64" s="127">
        <v>0</v>
      </c>
      <c r="H64" s="127">
        <v>67.662999999999997</v>
      </c>
      <c r="I64" s="127">
        <v>67.662999999999997</v>
      </c>
      <c r="J64" s="127">
        <v>67.662999999999997</v>
      </c>
      <c r="K64" s="127">
        <v>67.662999999999997</v>
      </c>
      <c r="L64" s="127">
        <v>270.65199999999999</v>
      </c>
      <c r="M64" s="127">
        <f>F64-L64</f>
        <v>0</v>
      </c>
      <c r="N64" s="116">
        <f>F64/L64*100</f>
        <v>100</v>
      </c>
      <c r="O64" s="127">
        <f>L64</f>
        <v>270.65199999999999</v>
      </c>
      <c r="P64" s="127">
        <f>F64-O64</f>
        <v>0</v>
      </c>
      <c r="Q64" s="116">
        <f>F64/O64*100</f>
        <v>100</v>
      </c>
      <c r="R64" s="116">
        <f>F64/E64*100</f>
        <v>79.999527070764984</v>
      </c>
      <c r="S64" s="127">
        <v>0</v>
      </c>
      <c r="T64" s="128">
        <f>F64-S64</f>
        <v>270.65199999999999</v>
      </c>
      <c r="U64" s="129"/>
    </row>
    <row r="65" spans="1:26" s="124" customFormat="1" ht="56.25" x14ac:dyDescent="0.25">
      <c r="A65" s="123" t="s">
        <v>192</v>
      </c>
      <c r="B65" s="142" t="s">
        <v>179</v>
      </c>
      <c r="C65" s="125"/>
      <c r="D65" s="130">
        <v>0</v>
      </c>
      <c r="E65" s="130">
        <v>156.357</v>
      </c>
      <c r="F65" s="127">
        <f t="shared" ref="F65:F66" si="58">SUM(G65:K65)</f>
        <v>156.357</v>
      </c>
      <c r="G65" s="127">
        <v>0</v>
      </c>
      <c r="H65" s="127">
        <v>0</v>
      </c>
      <c r="I65" s="127">
        <v>52.119</v>
      </c>
      <c r="J65" s="127">
        <f>52.119+52.119</f>
        <v>104.238</v>
      </c>
      <c r="K65" s="127">
        <v>0</v>
      </c>
      <c r="L65" s="127">
        <v>156.357</v>
      </c>
      <c r="M65" s="127">
        <f t="shared" ref="M65:M66" si="59">F65-L65</f>
        <v>0</v>
      </c>
      <c r="N65" s="116">
        <f t="shared" ref="N65:N66" si="60">F65/L65*100</f>
        <v>100</v>
      </c>
      <c r="O65" s="127">
        <f>L65</f>
        <v>156.357</v>
      </c>
      <c r="P65" s="127">
        <f t="shared" ref="P65:P66" si="61">F65-O65</f>
        <v>0</v>
      </c>
      <c r="Q65" s="116">
        <f t="shared" ref="Q65:Q66" si="62">F65/O65*100</f>
        <v>100</v>
      </c>
      <c r="R65" s="116">
        <f t="shared" ref="R65:R66" si="63">F65/E65*100</f>
        <v>100</v>
      </c>
      <c r="S65" s="127">
        <v>0</v>
      </c>
      <c r="T65" s="128">
        <f t="shared" ref="T65:T66" si="64">F65-S65</f>
        <v>156.357</v>
      </c>
      <c r="U65" s="129"/>
    </row>
    <row r="66" spans="1:26" s="124" customFormat="1" ht="93.75" x14ac:dyDescent="0.25">
      <c r="A66" s="123" t="s">
        <v>193</v>
      </c>
      <c r="B66" s="142" t="s">
        <v>180</v>
      </c>
      <c r="C66" s="125"/>
      <c r="D66" s="130">
        <v>0</v>
      </c>
      <c r="E66" s="130">
        <v>170.48599999999999</v>
      </c>
      <c r="F66" s="127">
        <f t="shared" si="58"/>
        <v>0</v>
      </c>
      <c r="G66" s="127">
        <v>0</v>
      </c>
      <c r="H66" s="127">
        <v>0</v>
      </c>
      <c r="I66" s="127">
        <v>0</v>
      </c>
      <c r="J66" s="127">
        <v>0</v>
      </c>
      <c r="K66" s="127">
        <v>0</v>
      </c>
      <c r="L66" s="127">
        <v>170.48599999999999</v>
      </c>
      <c r="M66" s="127">
        <f t="shared" si="59"/>
        <v>-170.48599999999999</v>
      </c>
      <c r="N66" s="116">
        <f t="shared" si="60"/>
        <v>0</v>
      </c>
      <c r="O66" s="127">
        <f t="shared" ref="O66" si="65">L66</f>
        <v>170.48599999999999</v>
      </c>
      <c r="P66" s="127">
        <f t="shared" si="61"/>
        <v>-170.48599999999999</v>
      </c>
      <c r="Q66" s="116">
        <f t="shared" si="62"/>
        <v>0</v>
      </c>
      <c r="R66" s="116">
        <f t="shared" si="63"/>
        <v>0</v>
      </c>
      <c r="S66" s="127">
        <v>0</v>
      </c>
      <c r="T66" s="128">
        <f t="shared" si="64"/>
        <v>0</v>
      </c>
      <c r="U66" s="129"/>
    </row>
    <row r="67" spans="1:26" s="39" customFormat="1" ht="27.75" customHeight="1" x14ac:dyDescent="0.3">
      <c r="A67" s="164"/>
      <c r="B67" s="40" t="s">
        <v>29</v>
      </c>
      <c r="C67" s="165"/>
      <c r="D67" s="38">
        <f>D71+D70+D69</f>
        <v>904503.46699999995</v>
      </c>
      <c r="E67" s="38">
        <f>E71+E70+E69</f>
        <v>907738.39500000002</v>
      </c>
      <c r="F67" s="38">
        <f t="shared" si="12"/>
        <v>363113.59600000002</v>
      </c>
      <c r="G67" s="38">
        <f t="shared" ref="G67:K67" si="66">G71+G70+G69</f>
        <v>65509.462</v>
      </c>
      <c r="H67" s="38">
        <f t="shared" ref="H67:J67" si="67">H71+H70+H69</f>
        <v>66194.953000000009</v>
      </c>
      <c r="I67" s="38">
        <f t="shared" si="67"/>
        <v>70696.006999999998</v>
      </c>
      <c r="J67" s="38">
        <f t="shared" si="67"/>
        <v>81160.876000000004</v>
      </c>
      <c r="K67" s="38">
        <f t="shared" si="66"/>
        <v>79552.297999999995</v>
      </c>
      <c r="L67" s="38">
        <f>L71+L70+L69</f>
        <v>364054.49200000003</v>
      </c>
      <c r="M67" s="38">
        <f t="shared" si="13"/>
        <v>-940.89600000000792</v>
      </c>
      <c r="N67" s="113">
        <f t="shared" si="14"/>
        <v>99.741550778612549</v>
      </c>
      <c r="O67" s="38">
        <f>O71+O70+O69</f>
        <v>364054.49200000003</v>
      </c>
      <c r="P67" s="38">
        <f t="shared" si="16"/>
        <v>-940.89600000000792</v>
      </c>
      <c r="Q67" s="113">
        <f t="shared" si="17"/>
        <v>99.741550778612549</v>
      </c>
      <c r="R67" s="113">
        <f t="shared" si="18"/>
        <v>40.002009169172581</v>
      </c>
      <c r="S67" s="38">
        <f>S71+S70+S69</f>
        <v>323501.16500000004</v>
      </c>
      <c r="T67" s="62">
        <f t="shared" si="40"/>
        <v>39612.430999999982</v>
      </c>
      <c r="U67" s="63">
        <f>F67/S67*100</f>
        <v>112.2449113900409</v>
      </c>
    </row>
    <row r="68" spans="1:26" s="12" customFormat="1" ht="17.25" customHeight="1" x14ac:dyDescent="0.25">
      <c r="A68" s="11"/>
      <c r="B68" s="107" t="s">
        <v>92</v>
      </c>
      <c r="C68" s="10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117"/>
      <c r="O68" s="86"/>
      <c r="P68" s="86"/>
      <c r="Q68" s="117"/>
      <c r="R68" s="117"/>
      <c r="S68" s="86"/>
      <c r="T68" s="62"/>
      <c r="U68" s="63"/>
    </row>
    <row r="69" spans="1:26" s="12" customFormat="1" ht="33.75" customHeight="1" x14ac:dyDescent="0.25">
      <c r="A69" s="11"/>
      <c r="B69" s="97" t="s">
        <v>133</v>
      </c>
      <c r="C69" s="25"/>
      <c r="D69" s="38"/>
      <c r="E69" s="38"/>
      <c r="F69" s="38">
        <f t="shared" si="12"/>
        <v>0</v>
      </c>
      <c r="G69" s="38"/>
      <c r="H69" s="38"/>
      <c r="I69" s="38"/>
      <c r="J69" s="38"/>
      <c r="K69" s="38"/>
      <c r="L69" s="38"/>
      <c r="M69" s="38"/>
      <c r="N69" s="113"/>
      <c r="O69" s="38"/>
      <c r="P69" s="38">
        <f t="shared" si="16"/>
        <v>0</v>
      </c>
      <c r="Q69" s="113"/>
      <c r="R69" s="113"/>
      <c r="S69" s="38">
        <f>S52</f>
        <v>4581.5</v>
      </c>
      <c r="T69" s="62">
        <f>F69-S69</f>
        <v>-4581.5</v>
      </c>
      <c r="U69" s="63"/>
    </row>
    <row r="70" spans="1:26" s="12" customFormat="1" ht="27.75" customHeight="1" x14ac:dyDescent="0.25">
      <c r="A70" s="11"/>
      <c r="B70" s="97" t="s">
        <v>105</v>
      </c>
      <c r="C70" s="25"/>
      <c r="D70" s="38">
        <f>D54</f>
        <v>0</v>
      </c>
      <c r="E70" s="38">
        <f>E54</f>
        <v>2856.1129999999998</v>
      </c>
      <c r="F70" s="38">
        <f t="shared" si="12"/>
        <v>2126.0950000000003</v>
      </c>
      <c r="G70" s="38">
        <f t="shared" ref="G70:L70" si="68">G54</f>
        <v>0</v>
      </c>
      <c r="H70" s="38">
        <f t="shared" si="68"/>
        <v>561.92399999999998</v>
      </c>
      <c r="I70" s="38">
        <f t="shared" si="68"/>
        <v>0</v>
      </c>
      <c r="J70" s="38">
        <f t="shared" si="68"/>
        <v>1564.171</v>
      </c>
      <c r="K70" s="38">
        <f t="shared" si="68"/>
        <v>0</v>
      </c>
      <c r="L70" s="38">
        <f t="shared" si="68"/>
        <v>2856.1129999999998</v>
      </c>
      <c r="M70" s="38">
        <f t="shared" ref="M70" si="69">F70-L70</f>
        <v>-730.01799999999957</v>
      </c>
      <c r="N70" s="113">
        <f t="shared" ref="N70" si="70">F70/L70*100</f>
        <v>74.440156954574292</v>
      </c>
      <c r="O70" s="38">
        <f>O54</f>
        <v>2856.1129999999998</v>
      </c>
      <c r="P70" s="38">
        <f t="shared" si="16"/>
        <v>-730.01799999999957</v>
      </c>
      <c r="Q70" s="113">
        <f t="shared" ref="Q70" si="71">F70/O70*100</f>
        <v>74.440156954574292</v>
      </c>
      <c r="R70" s="113">
        <f t="shared" ref="R70" si="72">F70/E70*100</f>
        <v>74.440156954574292</v>
      </c>
      <c r="S70" s="38"/>
      <c r="T70" s="62">
        <f>F70-S70</f>
        <v>2126.0950000000003</v>
      </c>
      <c r="U70" s="63"/>
    </row>
    <row r="71" spans="1:26" s="12" customFormat="1" ht="27" customHeight="1" x14ac:dyDescent="0.25">
      <c r="A71" s="11"/>
      <c r="B71" s="97" t="s">
        <v>70</v>
      </c>
      <c r="C71" s="25"/>
      <c r="D71" s="38">
        <f>D72+D73</f>
        <v>904503.46699999995</v>
      </c>
      <c r="E71" s="38">
        <f>E72+E73</f>
        <v>904882.28200000001</v>
      </c>
      <c r="F71" s="38">
        <f t="shared" si="12"/>
        <v>360987.50100000005</v>
      </c>
      <c r="G71" s="38">
        <f>G72+G73</f>
        <v>65509.462</v>
      </c>
      <c r="H71" s="38">
        <f t="shared" ref="H71:J71" si="73">H72+H73</f>
        <v>65633.02900000001</v>
      </c>
      <c r="I71" s="38">
        <f t="shared" si="73"/>
        <v>70696.006999999998</v>
      </c>
      <c r="J71" s="38">
        <f t="shared" si="73"/>
        <v>79596.705000000002</v>
      </c>
      <c r="K71" s="38">
        <f t="shared" ref="K71:L71" si="74">K72+K73</f>
        <v>79552.297999999995</v>
      </c>
      <c r="L71" s="38">
        <f t="shared" si="74"/>
        <v>361198.37900000002</v>
      </c>
      <c r="M71" s="38">
        <f t="shared" si="13"/>
        <v>-210.87799999996787</v>
      </c>
      <c r="N71" s="113">
        <f t="shared" si="14"/>
        <v>99.941617124477744</v>
      </c>
      <c r="O71" s="38">
        <f t="shared" ref="O71" si="75">O72+O73</f>
        <v>361198.37900000002</v>
      </c>
      <c r="P71" s="38">
        <f t="shared" si="16"/>
        <v>-210.87799999996787</v>
      </c>
      <c r="Q71" s="113">
        <f t="shared" si="17"/>
        <v>99.941617124477744</v>
      </c>
      <c r="R71" s="113">
        <f t="shared" si="18"/>
        <v>39.893310785369103</v>
      </c>
      <c r="S71" s="38">
        <f>S72+S73</f>
        <v>318919.66500000004</v>
      </c>
      <c r="T71" s="62">
        <f>F71-S71</f>
        <v>42067.83600000001</v>
      </c>
      <c r="U71" s="63">
        <f>F71/S71*100</f>
        <v>113.19073127710703</v>
      </c>
    </row>
    <row r="72" spans="1:26" s="7" customFormat="1" ht="24" customHeight="1" x14ac:dyDescent="0.25">
      <c r="A72" s="13"/>
      <c r="B72" s="16" t="s">
        <v>96</v>
      </c>
      <c r="C72" s="16"/>
      <c r="D72" s="130">
        <f>D53</f>
        <v>879086.1</v>
      </c>
      <c r="E72" s="130">
        <f>E53</f>
        <v>879086.1</v>
      </c>
      <c r="F72" s="130">
        <f t="shared" si="12"/>
        <v>350649.9</v>
      </c>
      <c r="G72" s="130">
        <f t="shared" ref="G72:L72" si="76">G53</f>
        <v>63808.4</v>
      </c>
      <c r="H72" s="130">
        <f t="shared" si="76"/>
        <v>63802.3</v>
      </c>
      <c r="I72" s="130">
        <f t="shared" si="76"/>
        <v>68537.3</v>
      </c>
      <c r="J72" s="130">
        <f t="shared" si="76"/>
        <v>77227.5</v>
      </c>
      <c r="K72" s="130">
        <f t="shared" si="76"/>
        <v>77274.399999999994</v>
      </c>
      <c r="L72" s="130">
        <f t="shared" si="76"/>
        <v>350649.9</v>
      </c>
      <c r="M72" s="130">
        <f t="shared" si="13"/>
        <v>0</v>
      </c>
      <c r="N72" s="118">
        <f t="shared" si="14"/>
        <v>100</v>
      </c>
      <c r="O72" s="130">
        <f>O53</f>
        <v>350649.9</v>
      </c>
      <c r="P72" s="130">
        <f t="shared" si="16"/>
        <v>0</v>
      </c>
      <c r="Q72" s="118">
        <f t="shared" si="17"/>
        <v>100</v>
      </c>
      <c r="R72" s="118">
        <f t="shared" si="18"/>
        <v>39.888004144303956</v>
      </c>
      <c r="S72" s="130">
        <f>S53</f>
        <v>306965.80000000005</v>
      </c>
      <c r="T72" s="128">
        <f>F72-S72</f>
        <v>43684.099999999977</v>
      </c>
      <c r="U72" s="129">
        <f>F72/S72*100</f>
        <v>114.23093386950598</v>
      </c>
    </row>
    <row r="73" spans="1:26" s="7" customFormat="1" ht="24.75" customHeight="1" x14ac:dyDescent="0.25">
      <c r="A73" s="13"/>
      <c r="B73" s="16" t="s">
        <v>95</v>
      </c>
      <c r="C73" s="16"/>
      <c r="D73" s="130">
        <f>D55+D59</f>
        <v>25417.366999999998</v>
      </c>
      <c r="E73" s="130">
        <f>E55+E59+E58</f>
        <v>25796.182000000001</v>
      </c>
      <c r="F73" s="130">
        <f t="shared" si="12"/>
        <v>10337.600999999999</v>
      </c>
      <c r="G73" s="130">
        <f t="shared" ref="G73:I73" si="77">G55+G59+G58</f>
        <v>1701.0619999999999</v>
      </c>
      <c r="H73" s="130">
        <f t="shared" si="77"/>
        <v>1830.729</v>
      </c>
      <c r="I73" s="130">
        <f t="shared" si="77"/>
        <v>2158.7069999999999</v>
      </c>
      <c r="J73" s="130">
        <f>J55+J59+J58</f>
        <v>2369.2049999999999</v>
      </c>
      <c r="K73" s="130">
        <f>K55+K59+K58</f>
        <v>2277.8980000000001</v>
      </c>
      <c r="L73" s="130">
        <f>L55+L59+L58</f>
        <v>10548.479000000001</v>
      </c>
      <c r="M73" s="130">
        <f t="shared" si="13"/>
        <v>-210.87800000000243</v>
      </c>
      <c r="N73" s="118">
        <f t="shared" si="14"/>
        <v>98.00086818203836</v>
      </c>
      <c r="O73" s="130">
        <f>O55+O59+O58</f>
        <v>10548.479000000001</v>
      </c>
      <c r="P73" s="130">
        <f t="shared" si="16"/>
        <v>-210.87800000000243</v>
      </c>
      <c r="Q73" s="118">
        <f t="shared" si="17"/>
        <v>98.00086818203836</v>
      </c>
      <c r="R73" s="118">
        <f t="shared" si="18"/>
        <v>40.074151283317811</v>
      </c>
      <c r="S73" s="130">
        <f>S55+S59+S56+S57</f>
        <v>11953.865</v>
      </c>
      <c r="T73" s="128">
        <f>F73-S73</f>
        <v>-1616.264000000001</v>
      </c>
      <c r="U73" s="129">
        <f>F73/S73*100</f>
        <v>86.479151303783325</v>
      </c>
    </row>
    <row r="74" spans="1:26" s="7" customFormat="1" ht="23.25" hidden="1" x14ac:dyDescent="0.25">
      <c r="A74" s="13"/>
      <c r="B74" s="35"/>
      <c r="C74" s="16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18"/>
      <c r="O74" s="130"/>
      <c r="P74" s="130"/>
      <c r="Q74" s="118"/>
      <c r="R74" s="118"/>
      <c r="S74" s="130"/>
      <c r="T74" s="128"/>
      <c r="U74" s="129"/>
    </row>
    <row r="75" spans="1:26" s="174" customFormat="1" ht="28.5" customHeight="1" x14ac:dyDescent="0.3">
      <c r="A75" s="166"/>
      <c r="B75" s="167" t="s">
        <v>28</v>
      </c>
      <c r="C75" s="168"/>
      <c r="D75" s="169">
        <f>D67+D51</f>
        <v>6124253.8440000005</v>
      </c>
      <c r="E75" s="169">
        <f>E67+E51</f>
        <v>6192950.6960000005</v>
      </c>
      <c r="F75" s="169">
        <f t="shared" si="12"/>
        <v>2589224.2170000002</v>
      </c>
      <c r="G75" s="169">
        <f>G67+G51</f>
        <v>492255.30200000014</v>
      </c>
      <c r="H75" s="169">
        <f>H67+H51</f>
        <v>511684.4659999999</v>
      </c>
      <c r="I75" s="169">
        <f>I67+I51</f>
        <v>448401.6810000001</v>
      </c>
      <c r="J75" s="169">
        <f>J67+J51</f>
        <v>562337.29599999986</v>
      </c>
      <c r="K75" s="169">
        <f>K67+K51</f>
        <v>574545.47200000007</v>
      </c>
      <c r="L75" s="169">
        <f>L67+L51</f>
        <v>2438901.1809999999</v>
      </c>
      <c r="M75" s="169">
        <f t="shared" si="13"/>
        <v>150323.03600000031</v>
      </c>
      <c r="N75" s="170">
        <f t="shared" si="14"/>
        <v>106.16355583289211</v>
      </c>
      <c r="O75" s="169">
        <f>O67+O51</f>
        <v>2566226.2840833333</v>
      </c>
      <c r="P75" s="169">
        <f t="shared" si="16"/>
        <v>22997.932916666847</v>
      </c>
      <c r="Q75" s="170">
        <f t="shared" si="17"/>
        <v>100.89617712433656</v>
      </c>
      <c r="R75" s="170">
        <f t="shared" si="18"/>
        <v>41.809217352115667</v>
      </c>
      <c r="S75" s="169">
        <f>S67+S51</f>
        <v>2467669.2149999999</v>
      </c>
      <c r="T75" s="171">
        <f>F75-S75</f>
        <v>121555.00200000033</v>
      </c>
      <c r="U75" s="172">
        <f>F75/S75*100</f>
        <v>104.92590340962697</v>
      </c>
      <c r="V75" s="169">
        <v>2467669.2149999999</v>
      </c>
      <c r="W75" s="173">
        <f>V75-S75</f>
        <v>0</v>
      </c>
      <c r="Z75" s="173"/>
    </row>
    <row r="76" spans="1:26" s="9" customFormat="1" ht="20.25" customHeight="1" x14ac:dyDescent="0.25">
      <c r="A76" s="150" t="s">
        <v>9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2"/>
    </row>
    <row r="77" spans="1:26" s="42" customFormat="1" ht="39.75" customHeight="1" x14ac:dyDescent="0.3">
      <c r="A77" s="23">
        <v>1</v>
      </c>
      <c r="B77" s="41" t="s">
        <v>12</v>
      </c>
      <c r="C77" s="24" t="s">
        <v>21</v>
      </c>
      <c r="D77" s="85">
        <f>D78+D79</f>
        <v>88942.407999999996</v>
      </c>
      <c r="E77" s="85">
        <f>E78+E79</f>
        <v>88942.407999999996</v>
      </c>
      <c r="F77" s="126">
        <f t="shared" ref="F77:F111" si="78">SUM(G77:K77)</f>
        <v>77993.236999999994</v>
      </c>
      <c r="G77" s="126">
        <f t="shared" ref="G77:K77" si="79">G78+G79</f>
        <v>9018.42</v>
      </c>
      <c r="H77" s="126">
        <f t="shared" ref="H77:J77" si="80">H78+H79</f>
        <v>22969.59</v>
      </c>
      <c r="I77" s="126">
        <f t="shared" si="80"/>
        <v>14417.822</v>
      </c>
      <c r="J77" s="126">
        <f t="shared" si="80"/>
        <v>20530.981</v>
      </c>
      <c r="K77" s="126">
        <f t="shared" si="79"/>
        <v>11056.424000000001</v>
      </c>
      <c r="L77" s="126">
        <f>L78+L79</f>
        <v>37059.337</v>
      </c>
      <c r="M77" s="126">
        <f t="shared" ref="M77:M97" si="81">F77-L77</f>
        <v>40933.899999999994</v>
      </c>
      <c r="N77" s="115">
        <f t="shared" ref="N77:N97" si="82">F77/L77*100</f>
        <v>210.45502513981833</v>
      </c>
      <c r="O77" s="126">
        <f>O78</f>
        <v>37059.336666666662</v>
      </c>
      <c r="P77" s="126">
        <f t="shared" ref="P77:P97" si="83">F77-O77</f>
        <v>40933.900333333331</v>
      </c>
      <c r="Q77" s="115">
        <f t="shared" ref="Q77:Q97" si="84">F77/O77*100</f>
        <v>210.45502703277384</v>
      </c>
      <c r="R77" s="115">
        <f t="shared" ref="R77:R97" si="85">F77/E77*100</f>
        <v>87.689594596989096</v>
      </c>
      <c r="S77" s="126">
        <f t="shared" ref="S77" si="86">S78+S79</f>
        <v>73160.986000000004</v>
      </c>
      <c r="T77" s="83">
        <f t="shared" ref="T77:T96" si="87">F77-S77</f>
        <v>4832.2509999999893</v>
      </c>
      <c r="U77" s="84">
        <f t="shared" ref="U77:U85" si="88">F77/S77*100</f>
        <v>106.60495608957483</v>
      </c>
    </row>
    <row r="78" spans="1:26" s="45" customFormat="1" ht="39" x14ac:dyDescent="0.3">
      <c r="A78" s="123" t="s">
        <v>110</v>
      </c>
      <c r="B78" s="71" t="s">
        <v>106</v>
      </c>
      <c r="C78" s="16" t="s">
        <v>107</v>
      </c>
      <c r="D78" s="130">
        <v>88942.407999999996</v>
      </c>
      <c r="E78" s="130">
        <v>88942.407999999996</v>
      </c>
      <c r="F78" s="127">
        <f t="shared" si="78"/>
        <v>47960.25</v>
      </c>
      <c r="G78" s="127">
        <v>6842.0010000000002</v>
      </c>
      <c r="H78" s="127">
        <v>8199.6650000000009</v>
      </c>
      <c r="I78" s="127">
        <v>8145.8459999999995</v>
      </c>
      <c r="J78" s="127">
        <v>15996.834999999999</v>
      </c>
      <c r="K78" s="127">
        <v>8775.9030000000002</v>
      </c>
      <c r="L78" s="127">
        <v>37059.337</v>
      </c>
      <c r="M78" s="127">
        <f t="shared" si="81"/>
        <v>10900.913</v>
      </c>
      <c r="N78" s="116">
        <f t="shared" si="82"/>
        <v>129.41475450572685</v>
      </c>
      <c r="O78" s="127">
        <f>E78/12*5</f>
        <v>37059.336666666662</v>
      </c>
      <c r="P78" s="127">
        <f t="shared" si="83"/>
        <v>10900.913333333338</v>
      </c>
      <c r="Q78" s="116">
        <f t="shared" si="84"/>
        <v>129.41475566975882</v>
      </c>
      <c r="R78" s="116">
        <f t="shared" si="85"/>
        <v>53.922814862399505</v>
      </c>
      <c r="S78" s="127">
        <v>35397.801999999996</v>
      </c>
      <c r="T78" s="128">
        <f t="shared" si="87"/>
        <v>12562.448000000004</v>
      </c>
      <c r="U78" s="129">
        <f t="shared" si="88"/>
        <v>135.48934479039124</v>
      </c>
    </row>
    <row r="79" spans="1:26" s="45" customFormat="1" ht="29.25" customHeight="1" x14ac:dyDescent="0.3">
      <c r="A79" s="123" t="s">
        <v>111</v>
      </c>
      <c r="B79" s="71" t="s">
        <v>108</v>
      </c>
      <c r="C79" s="16" t="s">
        <v>109</v>
      </c>
      <c r="D79" s="130">
        <v>0</v>
      </c>
      <c r="E79" s="130">
        <v>0</v>
      </c>
      <c r="F79" s="127">
        <f t="shared" si="78"/>
        <v>30032.986999999997</v>
      </c>
      <c r="G79" s="127">
        <v>2176.4189999999999</v>
      </c>
      <c r="H79" s="127">
        <v>14769.924999999999</v>
      </c>
      <c r="I79" s="127">
        <v>6271.9759999999997</v>
      </c>
      <c r="J79" s="127">
        <v>4534.1459999999997</v>
      </c>
      <c r="K79" s="127">
        <v>2280.5210000000002</v>
      </c>
      <c r="L79" s="127">
        <v>0</v>
      </c>
      <c r="M79" s="127">
        <f t="shared" si="81"/>
        <v>30032.986999999997</v>
      </c>
      <c r="N79" s="116"/>
      <c r="O79" s="127"/>
      <c r="P79" s="127">
        <f t="shared" si="83"/>
        <v>30032.986999999997</v>
      </c>
      <c r="Q79" s="116"/>
      <c r="R79" s="116"/>
      <c r="S79" s="127">
        <v>37763.184000000008</v>
      </c>
      <c r="T79" s="128">
        <f t="shared" si="87"/>
        <v>-7730.197000000011</v>
      </c>
      <c r="U79" s="129">
        <f t="shared" si="88"/>
        <v>79.529806067200241</v>
      </c>
    </row>
    <row r="80" spans="1:26" s="42" customFormat="1" ht="39" x14ac:dyDescent="0.3">
      <c r="A80" s="122">
        <v>2</v>
      </c>
      <c r="B80" s="82" t="s">
        <v>172</v>
      </c>
      <c r="C80" s="24" t="s">
        <v>173</v>
      </c>
      <c r="D80" s="85">
        <v>0</v>
      </c>
      <c r="E80" s="85">
        <v>0</v>
      </c>
      <c r="F80" s="126">
        <f t="shared" si="78"/>
        <v>0.62</v>
      </c>
      <c r="G80" s="126">
        <v>0</v>
      </c>
      <c r="H80" s="126">
        <v>1.2999999999999999E-2</v>
      </c>
      <c r="I80" s="126">
        <v>0.60699999999999998</v>
      </c>
      <c r="J80" s="126">
        <v>0</v>
      </c>
      <c r="K80" s="126">
        <v>0</v>
      </c>
      <c r="L80" s="126"/>
      <c r="M80" s="126">
        <f t="shared" si="81"/>
        <v>0.62</v>
      </c>
      <c r="N80" s="115"/>
      <c r="O80" s="126"/>
      <c r="P80" s="126">
        <f t="shared" si="83"/>
        <v>0.62</v>
      </c>
      <c r="Q80" s="115"/>
      <c r="R80" s="115"/>
      <c r="S80" s="126"/>
      <c r="T80" s="83">
        <f t="shared" si="87"/>
        <v>0.62</v>
      </c>
      <c r="U80" s="84"/>
    </row>
    <row r="81" spans="1:22" s="42" customFormat="1" ht="23.25" x14ac:dyDescent="0.3">
      <c r="A81" s="23">
        <f>A80+1</f>
        <v>3</v>
      </c>
      <c r="B81" s="82" t="s">
        <v>32</v>
      </c>
      <c r="C81" s="24" t="s">
        <v>31</v>
      </c>
      <c r="D81" s="85">
        <v>3460</v>
      </c>
      <c r="E81" s="85">
        <v>3200</v>
      </c>
      <c r="F81" s="126">
        <f t="shared" si="78"/>
        <v>2010.0309999999999</v>
      </c>
      <c r="G81" s="126">
        <v>20.629000000000001</v>
      </c>
      <c r="H81" s="126">
        <v>894.51700000000005</v>
      </c>
      <c r="I81" s="126">
        <v>27.177</v>
      </c>
      <c r="J81" s="126">
        <v>154.21100000000001</v>
      </c>
      <c r="K81" s="126">
        <v>913.49699999999996</v>
      </c>
      <c r="L81" s="126">
        <v>2007.415</v>
      </c>
      <c r="M81" s="126">
        <f t="shared" si="81"/>
        <v>2.6159999999999854</v>
      </c>
      <c r="N81" s="115">
        <f t="shared" si="82"/>
        <v>100.13031685027759</v>
      </c>
      <c r="O81" s="126">
        <f t="shared" ref="O81:O82" si="89">E81/12*5</f>
        <v>1333.3333333333335</v>
      </c>
      <c r="P81" s="126">
        <f t="shared" si="83"/>
        <v>676.69766666666646</v>
      </c>
      <c r="Q81" s="115">
        <f t="shared" si="84"/>
        <v>150.75232499999998</v>
      </c>
      <c r="R81" s="115">
        <f t="shared" si="85"/>
        <v>62.813468749999998</v>
      </c>
      <c r="S81" s="126">
        <v>1258.232</v>
      </c>
      <c r="T81" s="83">
        <f t="shared" si="87"/>
        <v>751.79899999999998</v>
      </c>
      <c r="U81" s="84">
        <f t="shared" si="88"/>
        <v>159.75042758410214</v>
      </c>
    </row>
    <row r="82" spans="1:22" s="42" customFormat="1" ht="58.5" x14ac:dyDescent="0.3">
      <c r="A82" s="23">
        <f>A81+1</f>
        <v>4</v>
      </c>
      <c r="B82" s="41" t="s">
        <v>26</v>
      </c>
      <c r="C82" s="24" t="s">
        <v>25</v>
      </c>
      <c r="D82" s="85">
        <v>50</v>
      </c>
      <c r="E82" s="85">
        <v>310</v>
      </c>
      <c r="F82" s="126">
        <f t="shared" si="78"/>
        <v>302.86600000000004</v>
      </c>
      <c r="G82" s="126">
        <v>0</v>
      </c>
      <c r="H82" s="126">
        <v>286.39800000000002</v>
      </c>
      <c r="I82" s="126">
        <v>2.5</v>
      </c>
      <c r="J82" s="126">
        <v>11.493</v>
      </c>
      <c r="K82" s="126">
        <v>2.4750000000000001</v>
      </c>
      <c r="L82" s="126">
        <v>300</v>
      </c>
      <c r="M82" s="126">
        <f t="shared" si="81"/>
        <v>2.8660000000000423</v>
      </c>
      <c r="N82" s="115">
        <f t="shared" si="82"/>
        <v>100.95533333333336</v>
      </c>
      <c r="O82" s="126">
        <f t="shared" si="89"/>
        <v>129.16666666666666</v>
      </c>
      <c r="P82" s="126">
        <f t="shared" si="83"/>
        <v>173.69933333333339</v>
      </c>
      <c r="Q82" s="115">
        <f t="shared" si="84"/>
        <v>234.4769032258065</v>
      </c>
      <c r="R82" s="115">
        <f>F82/E82*100</f>
        <v>97.698709677419373</v>
      </c>
      <c r="S82" s="126">
        <v>40.716000000000001</v>
      </c>
      <c r="T82" s="83">
        <f t="shared" si="87"/>
        <v>262.15000000000003</v>
      </c>
      <c r="U82" s="84">
        <f t="shared" si="88"/>
        <v>743.85008350525595</v>
      </c>
    </row>
    <row r="83" spans="1:22" s="30" customFormat="1" ht="31.5" customHeight="1" x14ac:dyDescent="0.3">
      <c r="A83" s="11">
        <f t="shared" ref="A83" si="90">A82+1</f>
        <v>5</v>
      </c>
      <c r="B83" s="15" t="s">
        <v>10</v>
      </c>
      <c r="C83" s="8"/>
      <c r="D83" s="38">
        <f>SUM(D84:D86)</f>
        <v>110700</v>
      </c>
      <c r="E83" s="38">
        <f>SUM(E84:E86)</f>
        <v>110700</v>
      </c>
      <c r="F83" s="38">
        <f t="shared" si="78"/>
        <v>54634.512999999999</v>
      </c>
      <c r="G83" s="38">
        <f t="shared" ref="G83:L83" si="91">SUM(G84:G86)</f>
        <v>30538.786</v>
      </c>
      <c r="H83" s="38">
        <f t="shared" si="91"/>
        <v>5031.7709999999997</v>
      </c>
      <c r="I83" s="38">
        <f t="shared" si="91"/>
        <v>7656.5209999999997</v>
      </c>
      <c r="J83" s="38">
        <f t="shared" si="91"/>
        <v>2151.5749999999998</v>
      </c>
      <c r="K83" s="38">
        <f t="shared" si="91"/>
        <v>9255.86</v>
      </c>
      <c r="L83" s="38">
        <f t="shared" si="91"/>
        <v>52762.415000000001</v>
      </c>
      <c r="M83" s="38">
        <f t="shared" si="81"/>
        <v>1872.0979999999981</v>
      </c>
      <c r="N83" s="113">
        <f t="shared" si="82"/>
        <v>103.54816586769201</v>
      </c>
      <c r="O83" s="38">
        <f>SUM(O84:O86)</f>
        <v>46125</v>
      </c>
      <c r="P83" s="38">
        <f t="shared" si="83"/>
        <v>8509.512999999999</v>
      </c>
      <c r="Q83" s="113">
        <f t="shared" si="84"/>
        <v>118.44880867208671</v>
      </c>
      <c r="R83" s="113">
        <f t="shared" si="85"/>
        <v>49.353670280036134</v>
      </c>
      <c r="S83" s="38">
        <f>SUM(S84:S86)</f>
        <v>26866.199000000001</v>
      </c>
      <c r="T83" s="62">
        <f t="shared" si="87"/>
        <v>27768.313999999998</v>
      </c>
      <c r="U83" s="63">
        <f t="shared" si="88"/>
        <v>203.35780658812212</v>
      </c>
      <c r="V83" s="43"/>
    </row>
    <row r="84" spans="1:22" s="45" customFormat="1" ht="39" x14ac:dyDescent="0.3">
      <c r="A84" s="13" t="s">
        <v>157</v>
      </c>
      <c r="B84" s="71" t="s">
        <v>126</v>
      </c>
      <c r="C84" s="16" t="s">
        <v>45</v>
      </c>
      <c r="D84" s="130">
        <v>0</v>
      </c>
      <c r="E84" s="130">
        <v>743.3</v>
      </c>
      <c r="F84" s="127">
        <f t="shared" si="78"/>
        <v>743.875</v>
      </c>
      <c r="G84" s="127">
        <v>48</v>
      </c>
      <c r="H84" s="127">
        <v>0</v>
      </c>
      <c r="I84" s="127">
        <v>274.428</v>
      </c>
      <c r="J84" s="127">
        <v>389.16300000000001</v>
      </c>
      <c r="K84" s="127">
        <v>32.283999999999999</v>
      </c>
      <c r="L84" s="127">
        <v>743.3</v>
      </c>
      <c r="M84" s="127">
        <f t="shared" si="81"/>
        <v>0.57500000000004547</v>
      </c>
      <c r="N84" s="118">
        <f t="shared" si="82"/>
        <v>100.07735772904616</v>
      </c>
      <c r="O84" s="127">
        <f t="shared" ref="O84:O87" si="92">E84/12*5</f>
        <v>309.70833333333331</v>
      </c>
      <c r="P84" s="127">
        <f t="shared" si="83"/>
        <v>434.16666666666669</v>
      </c>
      <c r="Q84" s="116">
        <f t="shared" ref="Q84" si="93">F84/O84*100</f>
        <v>240.18565854971078</v>
      </c>
      <c r="R84" s="116">
        <f t="shared" ref="R84" si="94">F84/E84*100</f>
        <v>100.07735772904616</v>
      </c>
      <c r="S84" s="127">
        <v>1986.1869999999999</v>
      </c>
      <c r="T84" s="128">
        <f t="shared" si="87"/>
        <v>-1242.3119999999999</v>
      </c>
      <c r="U84" s="129">
        <f t="shared" si="88"/>
        <v>37.452415104922146</v>
      </c>
    </row>
    <row r="85" spans="1:22" s="45" customFormat="1" ht="24.75" customHeight="1" x14ac:dyDescent="0.3">
      <c r="A85" s="13" t="s">
        <v>158</v>
      </c>
      <c r="B85" s="71" t="s">
        <v>37</v>
      </c>
      <c r="C85" s="16" t="s">
        <v>22</v>
      </c>
      <c r="D85" s="130">
        <v>14000</v>
      </c>
      <c r="E85" s="130">
        <v>13256.7</v>
      </c>
      <c r="F85" s="127">
        <f t="shared" si="78"/>
        <v>546.24200000000008</v>
      </c>
      <c r="G85" s="127">
        <v>0</v>
      </c>
      <c r="H85" s="127">
        <v>9.6319999999999997</v>
      </c>
      <c r="I85" s="127">
        <v>0</v>
      </c>
      <c r="J85" s="127">
        <v>1.42</v>
      </c>
      <c r="K85" s="127">
        <v>535.19000000000005</v>
      </c>
      <c r="L85" s="127">
        <v>500</v>
      </c>
      <c r="M85" s="127">
        <f t="shared" si="81"/>
        <v>46.242000000000075</v>
      </c>
      <c r="N85" s="118">
        <f t="shared" si="82"/>
        <v>109.24840000000002</v>
      </c>
      <c r="O85" s="127">
        <f t="shared" si="92"/>
        <v>5523.6250000000009</v>
      </c>
      <c r="P85" s="127">
        <f t="shared" si="83"/>
        <v>-4977.3830000000007</v>
      </c>
      <c r="Q85" s="116">
        <f t="shared" si="84"/>
        <v>9.8891941433388393</v>
      </c>
      <c r="R85" s="116">
        <f t="shared" si="85"/>
        <v>4.1204975597245168</v>
      </c>
      <c r="S85" s="127">
        <v>3805.857</v>
      </c>
      <c r="T85" s="128">
        <f t="shared" si="87"/>
        <v>-3259.6149999999998</v>
      </c>
      <c r="U85" s="129">
        <f t="shared" si="88"/>
        <v>14.352667480675182</v>
      </c>
    </row>
    <row r="86" spans="1:22" s="44" customFormat="1" ht="33" customHeight="1" x14ac:dyDescent="0.3">
      <c r="A86" s="13" t="s">
        <v>159</v>
      </c>
      <c r="B86" s="35" t="s">
        <v>65</v>
      </c>
      <c r="C86" s="16" t="s">
        <v>43</v>
      </c>
      <c r="D86" s="130">
        <v>96700</v>
      </c>
      <c r="E86" s="130">
        <v>96700</v>
      </c>
      <c r="F86" s="130">
        <f t="shared" si="78"/>
        <v>53344.396000000001</v>
      </c>
      <c r="G86" s="130">
        <v>30490.786</v>
      </c>
      <c r="H86" s="130">
        <v>5022.1390000000001</v>
      </c>
      <c r="I86" s="130">
        <v>7382.0929999999998</v>
      </c>
      <c r="J86" s="130">
        <v>1760.992</v>
      </c>
      <c r="K86" s="130">
        <v>8688.3860000000004</v>
      </c>
      <c r="L86" s="130">
        <v>51519.114999999998</v>
      </c>
      <c r="M86" s="130">
        <f t="shared" si="81"/>
        <v>1825.2810000000027</v>
      </c>
      <c r="N86" s="118">
        <f t="shared" si="82"/>
        <v>103.54291994340355</v>
      </c>
      <c r="O86" s="130">
        <f t="shared" si="92"/>
        <v>40291.666666666664</v>
      </c>
      <c r="P86" s="130">
        <f t="shared" si="83"/>
        <v>13052.729333333336</v>
      </c>
      <c r="Q86" s="118">
        <f t="shared" si="84"/>
        <v>132.39560537745604</v>
      </c>
      <c r="R86" s="118">
        <f t="shared" si="85"/>
        <v>55.164835573940017</v>
      </c>
      <c r="S86" s="130">
        <v>21074.154999999999</v>
      </c>
      <c r="T86" s="128">
        <f t="shared" si="87"/>
        <v>32270.241000000002</v>
      </c>
      <c r="U86" s="129">
        <f>F86/S86*100</f>
        <v>253.12709335202294</v>
      </c>
    </row>
    <row r="87" spans="1:22" s="42" customFormat="1" ht="30.75" customHeight="1" x14ac:dyDescent="0.3">
      <c r="A87" s="23">
        <v>6</v>
      </c>
      <c r="B87" s="82" t="s">
        <v>11</v>
      </c>
      <c r="C87" s="24" t="s">
        <v>23</v>
      </c>
      <c r="D87" s="85">
        <v>10220.1</v>
      </c>
      <c r="E87" s="85">
        <v>10220.1</v>
      </c>
      <c r="F87" s="126">
        <f t="shared" si="78"/>
        <v>6213.4129999999996</v>
      </c>
      <c r="G87" s="126">
        <v>885.63199999999995</v>
      </c>
      <c r="H87" s="126">
        <v>822.52</v>
      </c>
      <c r="I87" s="126">
        <v>2986.248</v>
      </c>
      <c r="J87" s="126">
        <v>540.67999999999995</v>
      </c>
      <c r="K87" s="126">
        <v>978.33299999999997</v>
      </c>
      <c r="L87" s="126">
        <v>5970.03</v>
      </c>
      <c r="M87" s="126">
        <f t="shared" si="81"/>
        <v>243.38299999999981</v>
      </c>
      <c r="N87" s="115">
        <f t="shared" si="82"/>
        <v>104.07674668301499</v>
      </c>
      <c r="O87" s="126">
        <f t="shared" si="92"/>
        <v>4258.375</v>
      </c>
      <c r="P87" s="126">
        <f t="shared" si="83"/>
        <v>1955.0379999999996</v>
      </c>
      <c r="Q87" s="115">
        <f t="shared" si="84"/>
        <v>145.91042357706871</v>
      </c>
      <c r="R87" s="115">
        <f t="shared" si="85"/>
        <v>60.796009823778633</v>
      </c>
      <c r="S87" s="126">
        <v>5970.1810000000005</v>
      </c>
      <c r="T87" s="83">
        <f t="shared" si="87"/>
        <v>243.23199999999906</v>
      </c>
      <c r="U87" s="84">
        <f>F87/S87*100</f>
        <v>104.07411433589699</v>
      </c>
    </row>
    <row r="88" spans="1:22" s="177" customFormat="1" ht="39" customHeight="1" x14ac:dyDescent="0.3">
      <c r="A88" s="175"/>
      <c r="B88" s="176" t="s">
        <v>147</v>
      </c>
      <c r="C88" s="37"/>
      <c r="D88" s="38">
        <f>D77+D81+D82+D84+D85+D86+D87+D80</f>
        <v>213372.508</v>
      </c>
      <c r="E88" s="38">
        <f>E77+E81+E82+E84+E85+E86+E87+E80</f>
        <v>213372.508</v>
      </c>
      <c r="F88" s="38">
        <f t="shared" si="78"/>
        <v>141154.68</v>
      </c>
      <c r="G88" s="38">
        <f t="shared" ref="G88:L88" si="95">G77+G81+G82+G84+G85+G86+G87+G80</f>
        <v>40463.466999999997</v>
      </c>
      <c r="H88" s="38">
        <f t="shared" si="95"/>
        <v>30004.809000000001</v>
      </c>
      <c r="I88" s="38">
        <f t="shared" ref="I88:J88" si="96">I77+I81+I82+I84+I85+I86+I87+I80</f>
        <v>25090.875</v>
      </c>
      <c r="J88" s="38">
        <f t="shared" si="96"/>
        <v>23388.939999999995</v>
      </c>
      <c r="K88" s="38">
        <f t="shared" si="95"/>
        <v>22206.589</v>
      </c>
      <c r="L88" s="38">
        <f t="shared" si="95"/>
        <v>98099.197</v>
      </c>
      <c r="M88" s="38">
        <f t="shared" si="81"/>
        <v>43055.482999999993</v>
      </c>
      <c r="N88" s="113">
        <f t="shared" si="82"/>
        <v>143.88974050419597</v>
      </c>
      <c r="O88" s="38">
        <f>O77+O81+O82+O84+O85+O86+O87+O80</f>
        <v>88905.21166666667</v>
      </c>
      <c r="P88" s="38">
        <f t="shared" si="83"/>
        <v>52249.468333333323</v>
      </c>
      <c r="Q88" s="113">
        <f t="shared" si="84"/>
        <v>158.76985989216564</v>
      </c>
      <c r="R88" s="113">
        <f t="shared" si="85"/>
        <v>66.154108288402355</v>
      </c>
      <c r="S88" s="38">
        <f>S77+S81+S82+S84+S85+S86+S87+S80</f>
        <v>107296.31400000001</v>
      </c>
      <c r="T88" s="62">
        <f t="shared" si="87"/>
        <v>33858.36599999998</v>
      </c>
      <c r="U88" s="63">
        <f>F88/S88*100</f>
        <v>131.5559451557674</v>
      </c>
    </row>
    <row r="89" spans="1:22" s="26" customFormat="1" ht="84" customHeight="1" x14ac:dyDescent="0.25">
      <c r="A89" s="23">
        <v>1</v>
      </c>
      <c r="B89" s="41" t="s">
        <v>141</v>
      </c>
      <c r="C89" s="24" t="s">
        <v>69</v>
      </c>
      <c r="D89" s="85">
        <v>17390</v>
      </c>
      <c r="E89" s="85">
        <v>17390</v>
      </c>
      <c r="F89" s="85">
        <f t="shared" si="78"/>
        <v>130.697</v>
      </c>
      <c r="G89" s="85">
        <v>0</v>
      </c>
      <c r="H89" s="85">
        <v>0</v>
      </c>
      <c r="I89" s="85">
        <v>130.697</v>
      </c>
      <c r="J89" s="85">
        <v>0</v>
      </c>
      <c r="K89" s="85">
        <v>0</v>
      </c>
      <c r="L89" s="85">
        <v>17390</v>
      </c>
      <c r="M89" s="85">
        <f t="shared" si="81"/>
        <v>-17259.303</v>
      </c>
      <c r="N89" s="87">
        <f t="shared" si="82"/>
        <v>0.75156411730879813</v>
      </c>
      <c r="O89" s="85">
        <f>L89</f>
        <v>17390</v>
      </c>
      <c r="P89" s="85">
        <f t="shared" si="83"/>
        <v>-17259.303</v>
      </c>
      <c r="Q89" s="87">
        <f t="shared" si="84"/>
        <v>0.75156411730879813</v>
      </c>
      <c r="R89" s="87">
        <f t="shared" si="85"/>
        <v>0.75156411730879813</v>
      </c>
      <c r="S89" s="85">
        <v>34000</v>
      </c>
      <c r="T89" s="83">
        <f t="shared" si="87"/>
        <v>-33869.303</v>
      </c>
      <c r="U89" s="84">
        <f>F89/S89*100</f>
        <v>0.38440294117647056</v>
      </c>
    </row>
    <row r="90" spans="1:22" s="26" customFormat="1" ht="39" x14ac:dyDescent="0.25">
      <c r="A90" s="23">
        <f>A89+1</f>
        <v>2</v>
      </c>
      <c r="B90" s="109" t="s">
        <v>169</v>
      </c>
      <c r="C90" s="95" t="s">
        <v>170</v>
      </c>
      <c r="D90" s="85">
        <v>0</v>
      </c>
      <c r="E90" s="85">
        <v>10260.334000000001</v>
      </c>
      <c r="F90" s="85">
        <f t="shared" si="78"/>
        <v>10260.334000000001</v>
      </c>
      <c r="G90" s="85">
        <v>0</v>
      </c>
      <c r="H90" s="85">
        <v>10260.334000000001</v>
      </c>
      <c r="I90" s="85">
        <v>0</v>
      </c>
      <c r="J90" s="85">
        <v>0</v>
      </c>
      <c r="K90" s="85">
        <v>0</v>
      </c>
      <c r="L90" s="85">
        <v>10260.334000000001</v>
      </c>
      <c r="M90" s="85">
        <f t="shared" ref="M90:M91" si="97">F90-L90</f>
        <v>0</v>
      </c>
      <c r="N90" s="87">
        <f t="shared" ref="N90:N91" si="98">F90/L90*100</f>
        <v>100</v>
      </c>
      <c r="O90" s="85">
        <f>L90</f>
        <v>10260.334000000001</v>
      </c>
      <c r="P90" s="85">
        <f t="shared" ref="P90:P91" si="99">F90-O90</f>
        <v>0</v>
      </c>
      <c r="Q90" s="87">
        <f t="shared" ref="Q90:Q91" si="100">F90/O90*100</f>
        <v>100</v>
      </c>
      <c r="R90" s="87">
        <f t="shared" ref="R90:R91" si="101">F90/E90*100</f>
        <v>100</v>
      </c>
      <c r="S90" s="85">
        <v>0</v>
      </c>
      <c r="T90" s="83">
        <f t="shared" si="87"/>
        <v>10260.334000000001</v>
      </c>
      <c r="U90" s="84"/>
    </row>
    <row r="91" spans="1:22" s="26" customFormat="1" ht="39" x14ac:dyDescent="0.25">
      <c r="A91" s="23">
        <v>3</v>
      </c>
      <c r="B91" s="41" t="s">
        <v>154</v>
      </c>
      <c r="C91" s="24" t="s">
        <v>155</v>
      </c>
      <c r="D91" s="85">
        <v>0</v>
      </c>
      <c r="E91" s="85">
        <v>32619.324000000001</v>
      </c>
      <c r="F91" s="85">
        <f t="shared" si="78"/>
        <v>32619.324000000001</v>
      </c>
      <c r="G91" s="85">
        <v>24369.562000000002</v>
      </c>
      <c r="H91" s="85">
        <v>0</v>
      </c>
      <c r="I91" s="85">
        <v>0</v>
      </c>
      <c r="J91" s="85">
        <v>0</v>
      </c>
      <c r="K91" s="85">
        <v>8249.7620000000006</v>
      </c>
      <c r="L91" s="85">
        <v>32619.324000000001</v>
      </c>
      <c r="M91" s="85">
        <f t="shared" si="97"/>
        <v>0</v>
      </c>
      <c r="N91" s="87">
        <f t="shared" si="98"/>
        <v>100</v>
      </c>
      <c r="O91" s="126">
        <f>L91</f>
        <v>32619.324000000001</v>
      </c>
      <c r="P91" s="85">
        <f t="shared" si="99"/>
        <v>0</v>
      </c>
      <c r="Q91" s="87">
        <f t="shared" si="100"/>
        <v>100</v>
      </c>
      <c r="R91" s="87">
        <f t="shared" si="101"/>
        <v>100</v>
      </c>
      <c r="S91" s="85">
        <v>0</v>
      </c>
      <c r="T91" s="83">
        <f t="shared" ref="T91" si="102">F91-S91</f>
        <v>32619.324000000001</v>
      </c>
      <c r="U91" s="84"/>
    </row>
    <row r="92" spans="1:22" s="39" customFormat="1" ht="31.5" customHeight="1" x14ac:dyDescent="0.3">
      <c r="A92" s="164"/>
      <c r="B92" s="40" t="s">
        <v>27</v>
      </c>
      <c r="C92" s="37"/>
      <c r="D92" s="38">
        <f t="shared" ref="D92:E92" si="103">D93+D96</f>
        <v>17390</v>
      </c>
      <c r="E92" s="38">
        <f t="shared" si="103"/>
        <v>60269.658000000003</v>
      </c>
      <c r="F92" s="38">
        <f>SUM(G92:K92)</f>
        <v>43010.355000000003</v>
      </c>
      <c r="G92" s="38">
        <f t="shared" ref="G92:H92" si="104">G93+G96</f>
        <v>24369.562000000002</v>
      </c>
      <c r="H92" s="38">
        <f t="shared" si="104"/>
        <v>10260.334000000001</v>
      </c>
      <c r="I92" s="38">
        <f>I93+I96</f>
        <v>130.697</v>
      </c>
      <c r="J92" s="38">
        <f>J93+J96</f>
        <v>0</v>
      </c>
      <c r="K92" s="38">
        <f>K93+K96</f>
        <v>8249.7620000000006</v>
      </c>
      <c r="L92" s="38">
        <f t="shared" ref="L92" si="105">L93</f>
        <v>27650.334000000003</v>
      </c>
      <c r="M92" s="38">
        <f t="shared" si="81"/>
        <v>15360.021000000001</v>
      </c>
      <c r="N92" s="113">
        <f t="shared" si="82"/>
        <v>155.55094198862119</v>
      </c>
      <c r="O92" s="38">
        <f>O93+O96</f>
        <v>60269.658000000003</v>
      </c>
      <c r="P92" s="38">
        <f t="shared" si="83"/>
        <v>-17259.303</v>
      </c>
      <c r="Q92" s="113">
        <f t="shared" si="84"/>
        <v>71.363197382006049</v>
      </c>
      <c r="R92" s="113">
        <f t="shared" si="85"/>
        <v>71.363197382006049</v>
      </c>
      <c r="S92" s="38">
        <f>S93+S96</f>
        <v>34000</v>
      </c>
      <c r="T92" s="62">
        <f t="shared" si="87"/>
        <v>9010.3550000000032</v>
      </c>
      <c r="U92" s="63">
        <f t="shared" ref="U92:U94" si="106">F92/S92*100</f>
        <v>126.50104411764707</v>
      </c>
    </row>
    <row r="93" spans="1:22" s="114" customFormat="1" ht="22.5" x14ac:dyDescent="0.25">
      <c r="A93" s="32"/>
      <c r="B93" s="112" t="s">
        <v>70</v>
      </c>
      <c r="C93" s="25"/>
      <c r="D93" s="38">
        <f>D94+D95</f>
        <v>17390</v>
      </c>
      <c r="E93" s="38">
        <f>E94+E95</f>
        <v>27650.334000000003</v>
      </c>
      <c r="F93" s="38">
        <f>SUM(G93:K93)</f>
        <v>10391.031000000001</v>
      </c>
      <c r="G93" s="38">
        <f t="shared" ref="G93:L93" si="107">G94+G95</f>
        <v>0</v>
      </c>
      <c r="H93" s="38">
        <f t="shared" si="107"/>
        <v>10260.334000000001</v>
      </c>
      <c r="I93" s="38">
        <f t="shared" si="107"/>
        <v>130.697</v>
      </c>
      <c r="J93" s="38">
        <f t="shared" si="107"/>
        <v>0</v>
      </c>
      <c r="K93" s="38">
        <f t="shared" si="107"/>
        <v>0</v>
      </c>
      <c r="L93" s="38">
        <f t="shared" si="107"/>
        <v>27650.334000000003</v>
      </c>
      <c r="M93" s="38">
        <f t="shared" si="81"/>
        <v>-17259.303</v>
      </c>
      <c r="N93" s="113">
        <f t="shared" si="82"/>
        <v>37.580128326840459</v>
      </c>
      <c r="O93" s="38">
        <f>O94+O95</f>
        <v>27650.334000000003</v>
      </c>
      <c r="P93" s="38">
        <f t="shared" si="83"/>
        <v>-17259.303</v>
      </c>
      <c r="Q93" s="113">
        <f t="shared" si="84"/>
        <v>37.580128326840459</v>
      </c>
      <c r="R93" s="113">
        <f t="shared" si="85"/>
        <v>37.580128326840459</v>
      </c>
      <c r="S93" s="38">
        <f>S94+S95</f>
        <v>34000</v>
      </c>
      <c r="T93" s="62">
        <f t="shared" si="87"/>
        <v>-23608.968999999997</v>
      </c>
      <c r="U93" s="63">
        <f t="shared" si="106"/>
        <v>30.561855882352944</v>
      </c>
    </row>
    <row r="94" spans="1:22" s="7" customFormat="1" ht="23.25" x14ac:dyDescent="0.25">
      <c r="A94" s="13"/>
      <c r="B94" s="16" t="s">
        <v>96</v>
      </c>
      <c r="C94" s="16"/>
      <c r="D94" s="130">
        <f>D89</f>
        <v>17390</v>
      </c>
      <c r="E94" s="130">
        <f>E89</f>
        <v>17390</v>
      </c>
      <c r="F94" s="130">
        <f t="shared" si="78"/>
        <v>130.697</v>
      </c>
      <c r="G94" s="130">
        <f t="shared" ref="G94:L95" si="108">G89</f>
        <v>0</v>
      </c>
      <c r="H94" s="130">
        <f t="shared" si="108"/>
        <v>0</v>
      </c>
      <c r="I94" s="130">
        <f t="shared" ref="I94:J94" si="109">I89</f>
        <v>130.697</v>
      </c>
      <c r="J94" s="130">
        <f t="shared" si="109"/>
        <v>0</v>
      </c>
      <c r="K94" s="130">
        <f t="shared" si="108"/>
        <v>0</v>
      </c>
      <c r="L94" s="130">
        <f t="shared" si="108"/>
        <v>17390</v>
      </c>
      <c r="M94" s="130">
        <f t="shared" si="81"/>
        <v>-17259.303</v>
      </c>
      <c r="N94" s="118">
        <f t="shared" si="82"/>
        <v>0.75156411730879813</v>
      </c>
      <c r="O94" s="130">
        <f>O89</f>
        <v>17390</v>
      </c>
      <c r="P94" s="130">
        <f t="shared" si="83"/>
        <v>-17259.303</v>
      </c>
      <c r="Q94" s="118">
        <f t="shared" si="84"/>
        <v>0.75156411730879813</v>
      </c>
      <c r="R94" s="118">
        <f t="shared" si="85"/>
        <v>0.75156411730879813</v>
      </c>
      <c r="S94" s="130">
        <f>S89</f>
        <v>34000</v>
      </c>
      <c r="T94" s="128">
        <f t="shared" si="87"/>
        <v>-33869.303</v>
      </c>
      <c r="U94" s="129">
        <f t="shared" si="106"/>
        <v>0.38440294117647056</v>
      </c>
    </row>
    <row r="95" spans="1:22" s="7" customFormat="1" ht="23.25" x14ac:dyDescent="0.25">
      <c r="A95" s="13"/>
      <c r="B95" s="108" t="s">
        <v>95</v>
      </c>
      <c r="C95" s="16"/>
      <c r="D95" s="130"/>
      <c r="E95" s="130">
        <f>E90</f>
        <v>10260.334000000001</v>
      </c>
      <c r="F95" s="130">
        <f t="shared" si="78"/>
        <v>10260.334000000001</v>
      </c>
      <c r="G95" s="130">
        <f t="shared" si="108"/>
        <v>0</v>
      </c>
      <c r="H95" s="130">
        <f t="shared" si="108"/>
        <v>10260.334000000001</v>
      </c>
      <c r="I95" s="130">
        <f t="shared" ref="I95:J95" si="110">I90</f>
        <v>0</v>
      </c>
      <c r="J95" s="130">
        <f t="shared" si="110"/>
        <v>0</v>
      </c>
      <c r="K95" s="130">
        <f t="shared" si="108"/>
        <v>0</v>
      </c>
      <c r="L95" s="130">
        <f>L90</f>
        <v>10260.334000000001</v>
      </c>
      <c r="M95" s="130">
        <f t="shared" si="81"/>
        <v>0</v>
      </c>
      <c r="N95" s="118">
        <f t="shared" si="82"/>
        <v>100</v>
      </c>
      <c r="O95" s="130">
        <f>O90</f>
        <v>10260.334000000001</v>
      </c>
      <c r="P95" s="130">
        <f t="shared" si="83"/>
        <v>0</v>
      </c>
      <c r="Q95" s="118">
        <f t="shared" ref="Q95" si="111">F95/O95*100</f>
        <v>100</v>
      </c>
      <c r="R95" s="118">
        <f t="shared" ref="R95" si="112">F95/E95*100</f>
        <v>100</v>
      </c>
      <c r="S95" s="130">
        <v>0</v>
      </c>
      <c r="T95" s="128">
        <f t="shared" si="87"/>
        <v>10260.334000000001</v>
      </c>
      <c r="U95" s="129"/>
    </row>
    <row r="96" spans="1:22" s="114" customFormat="1" ht="39" x14ac:dyDescent="0.25">
      <c r="A96" s="32"/>
      <c r="B96" s="112" t="s">
        <v>183</v>
      </c>
      <c r="C96" s="25"/>
      <c r="D96" s="38">
        <f>D91</f>
        <v>0</v>
      </c>
      <c r="E96" s="38">
        <f>E91</f>
        <v>32619.324000000001</v>
      </c>
      <c r="F96" s="38">
        <f t="shared" si="78"/>
        <v>32619.324000000001</v>
      </c>
      <c r="G96" s="38">
        <f>G91</f>
        <v>24369.562000000002</v>
      </c>
      <c r="H96" s="38">
        <f t="shared" ref="H96:K96" si="113">H91</f>
        <v>0</v>
      </c>
      <c r="I96" s="38">
        <f t="shared" ref="I96:J96" si="114">I91</f>
        <v>0</v>
      </c>
      <c r="J96" s="38">
        <f t="shared" si="114"/>
        <v>0</v>
      </c>
      <c r="K96" s="38">
        <f t="shared" si="113"/>
        <v>8249.7620000000006</v>
      </c>
      <c r="L96" s="38">
        <f>L91</f>
        <v>32619.324000000001</v>
      </c>
      <c r="M96" s="38">
        <f t="shared" ref="M96" si="115">F96-L96</f>
        <v>0</v>
      </c>
      <c r="N96" s="113">
        <f t="shared" ref="N96" si="116">F96/L96*100</f>
        <v>100</v>
      </c>
      <c r="O96" s="38">
        <f>O91</f>
        <v>32619.324000000001</v>
      </c>
      <c r="P96" s="38">
        <f t="shared" ref="P96" si="117">F96-O96</f>
        <v>0</v>
      </c>
      <c r="Q96" s="113">
        <f t="shared" ref="Q96" si="118">F96/O96*100</f>
        <v>100</v>
      </c>
      <c r="R96" s="113">
        <f t="shared" ref="R96" si="119">F96/E96*100</f>
        <v>100</v>
      </c>
      <c r="S96" s="38"/>
      <c r="T96" s="62">
        <f t="shared" si="87"/>
        <v>32619.324000000001</v>
      </c>
      <c r="U96" s="63"/>
    </row>
    <row r="97" spans="1:23" s="174" customFormat="1" ht="36.75" customHeight="1" x14ac:dyDescent="0.3">
      <c r="A97" s="166"/>
      <c r="B97" s="167" t="s">
        <v>42</v>
      </c>
      <c r="C97" s="178"/>
      <c r="D97" s="169">
        <f>D88+D92</f>
        <v>230762.508</v>
      </c>
      <c r="E97" s="169">
        <f>E88+E92</f>
        <v>273642.16600000003</v>
      </c>
      <c r="F97" s="169">
        <f>SUM(G97:K97)</f>
        <v>184165.03499999997</v>
      </c>
      <c r="G97" s="169">
        <f>G88+G92</f>
        <v>64833.028999999995</v>
      </c>
      <c r="H97" s="169">
        <f t="shared" ref="H97:K97" si="120">H88+H92</f>
        <v>40265.143000000004</v>
      </c>
      <c r="I97" s="169">
        <f t="shared" ref="I97:J97" si="121">I88+I92</f>
        <v>25221.572</v>
      </c>
      <c r="J97" s="169">
        <f t="shared" si="121"/>
        <v>23388.939999999995</v>
      </c>
      <c r="K97" s="169">
        <f t="shared" si="120"/>
        <v>30456.351000000002</v>
      </c>
      <c r="L97" s="169">
        <f t="shared" ref="L97" si="122">L88+L92</f>
        <v>125749.531</v>
      </c>
      <c r="M97" s="169">
        <f t="shared" si="81"/>
        <v>58415.503999999972</v>
      </c>
      <c r="N97" s="170">
        <f t="shared" si="82"/>
        <v>146.45385436864967</v>
      </c>
      <c r="O97" s="169">
        <f>O88+O92</f>
        <v>149174.86966666667</v>
      </c>
      <c r="P97" s="169">
        <f t="shared" si="83"/>
        <v>34990.165333333309</v>
      </c>
      <c r="Q97" s="170">
        <f t="shared" si="84"/>
        <v>123.45580419243491</v>
      </c>
      <c r="R97" s="170">
        <f t="shared" si="85"/>
        <v>67.301409608049937</v>
      </c>
      <c r="S97" s="169">
        <f>S88+S92</f>
        <v>141296.31400000001</v>
      </c>
      <c r="T97" s="179">
        <f>F97-S97</f>
        <v>42868.720999999961</v>
      </c>
      <c r="U97" s="172">
        <f>F97/S97*100</f>
        <v>130.33958904264125</v>
      </c>
      <c r="V97" s="169">
        <v>141296.31400000001</v>
      </c>
      <c r="W97" s="169">
        <f>V97-S97</f>
        <v>0</v>
      </c>
    </row>
    <row r="98" spans="1:23" s="12" customFormat="1" ht="26.25" customHeight="1" x14ac:dyDescent="0.25">
      <c r="A98" s="147" t="s">
        <v>41</v>
      </c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9"/>
    </row>
    <row r="99" spans="1:23" s="174" customFormat="1" ht="36" customHeight="1" x14ac:dyDescent="0.3">
      <c r="A99" s="180"/>
      <c r="B99" s="167" t="s">
        <v>149</v>
      </c>
      <c r="C99" s="178"/>
      <c r="D99" s="169">
        <f>D51+D88</f>
        <v>5433122.8850000007</v>
      </c>
      <c r="E99" s="169">
        <f>E51+E88</f>
        <v>5498584.8090000013</v>
      </c>
      <c r="F99" s="169">
        <f t="shared" si="78"/>
        <v>2367265.301</v>
      </c>
      <c r="G99" s="169">
        <f>G51+G88</f>
        <v>467209.30700000015</v>
      </c>
      <c r="H99" s="169">
        <f>H51+H88</f>
        <v>475494.32199999993</v>
      </c>
      <c r="I99" s="169">
        <f>I51+I88</f>
        <v>402796.54900000012</v>
      </c>
      <c r="J99" s="169">
        <f>J51+J88</f>
        <v>504565.35999999987</v>
      </c>
      <c r="K99" s="169">
        <f>K51+K88</f>
        <v>517199.76300000004</v>
      </c>
      <c r="L99" s="169">
        <f>L51+L88</f>
        <v>2172945.8859999999</v>
      </c>
      <c r="M99" s="169">
        <f t="shared" ref="M99:M111" si="123">F99-L99</f>
        <v>194319.41500000004</v>
      </c>
      <c r="N99" s="170">
        <f t="shared" ref="N99:N111" si="124">F99/L99*100</f>
        <v>108.9426716169958</v>
      </c>
      <c r="O99" s="169">
        <f>O51+O88</f>
        <v>2291077.0037500001</v>
      </c>
      <c r="P99" s="169">
        <f t="shared" ref="P99:P111" si="125">F99-O99</f>
        <v>76188.297249999829</v>
      </c>
      <c r="Q99" s="170">
        <f t="shared" ref="Q99:Q111" si="126">F99/O99*100</f>
        <v>103.32543590308383</v>
      </c>
      <c r="R99" s="170">
        <f t="shared" ref="R99:R111" si="127">F99/E99*100</f>
        <v>43.052264959618256</v>
      </c>
      <c r="S99" s="169">
        <f>S51+S88</f>
        <v>2251464.3640000001</v>
      </c>
      <c r="T99" s="171">
        <f>F99-S99</f>
        <v>115800.93699999992</v>
      </c>
      <c r="U99" s="172">
        <f>F99/S99*100</f>
        <v>105.14336086555976</v>
      </c>
    </row>
    <row r="100" spans="1:23" s="30" customFormat="1" ht="22.5" x14ac:dyDescent="0.3">
      <c r="A100" s="111"/>
      <c r="B100" s="15"/>
      <c r="C100" s="25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113"/>
      <c r="O100" s="38"/>
      <c r="P100" s="38"/>
      <c r="Q100" s="113"/>
      <c r="R100" s="113"/>
      <c r="S100" s="38"/>
      <c r="T100" s="62"/>
      <c r="U100" s="63"/>
    </row>
    <row r="101" spans="1:23" s="30" customFormat="1" ht="32.25" hidden="1" customHeight="1" x14ac:dyDescent="0.3">
      <c r="A101" s="111"/>
      <c r="B101" s="97" t="s">
        <v>66</v>
      </c>
      <c r="C101" s="25"/>
      <c r="D101" s="98"/>
      <c r="E101" s="98"/>
      <c r="F101" s="98">
        <f t="shared" si="78"/>
        <v>0</v>
      </c>
      <c r="G101" s="98">
        <v>0</v>
      </c>
      <c r="H101" s="98">
        <v>0</v>
      </c>
      <c r="I101" s="98">
        <v>0</v>
      </c>
      <c r="J101" s="98">
        <v>0</v>
      </c>
      <c r="K101" s="98">
        <v>0</v>
      </c>
      <c r="L101" s="98"/>
      <c r="M101" s="98">
        <f t="shared" si="123"/>
        <v>0</v>
      </c>
      <c r="N101" s="119"/>
      <c r="O101" s="98"/>
      <c r="P101" s="98">
        <f t="shared" si="125"/>
        <v>0</v>
      </c>
      <c r="Q101" s="119"/>
      <c r="R101" s="119"/>
      <c r="S101" s="98">
        <v>-161910</v>
      </c>
      <c r="T101" s="99">
        <f>F101-S101</f>
        <v>161910</v>
      </c>
      <c r="U101" s="100">
        <f>F101/S101*100</f>
        <v>0</v>
      </c>
    </row>
    <row r="102" spans="1:23" s="30" customFormat="1" ht="22.5" hidden="1" x14ac:dyDescent="0.3">
      <c r="A102" s="11"/>
      <c r="B102" s="15"/>
      <c r="C102" s="25"/>
      <c r="D102" s="38"/>
      <c r="E102" s="38"/>
      <c r="F102" s="38">
        <f t="shared" si="78"/>
        <v>0</v>
      </c>
      <c r="G102" s="38"/>
      <c r="H102" s="38"/>
      <c r="I102" s="38"/>
      <c r="J102" s="38"/>
      <c r="K102" s="38"/>
      <c r="L102" s="38"/>
      <c r="M102" s="38"/>
      <c r="N102" s="113"/>
      <c r="O102" s="38"/>
      <c r="P102" s="38"/>
      <c r="Q102" s="113"/>
      <c r="R102" s="113"/>
      <c r="S102" s="38"/>
      <c r="T102" s="62"/>
      <c r="U102" s="63"/>
    </row>
    <row r="103" spans="1:23" s="39" customFormat="1" ht="37.5" customHeight="1" x14ac:dyDescent="0.3">
      <c r="A103" s="164"/>
      <c r="B103" s="40" t="s">
        <v>27</v>
      </c>
      <c r="C103" s="37"/>
      <c r="D103" s="38">
        <f>D104+D105+D106+D109</f>
        <v>921893.46699999995</v>
      </c>
      <c r="E103" s="38">
        <f>E104+E105+E106+E109</f>
        <v>968008.05299999996</v>
      </c>
      <c r="F103" s="38">
        <f t="shared" si="78"/>
        <v>406123.951</v>
      </c>
      <c r="G103" s="38">
        <f t="shared" ref="G103:L103" si="128">G104+G105+G106+G109</f>
        <v>89879.024000000005</v>
      </c>
      <c r="H103" s="38">
        <f t="shared" si="128"/>
        <v>76455.286999999997</v>
      </c>
      <c r="I103" s="38">
        <f t="shared" ref="I103:J103" si="129">I104+I105+I106+I109</f>
        <v>70826.703999999998</v>
      </c>
      <c r="J103" s="38">
        <f t="shared" si="129"/>
        <v>81160.876000000004</v>
      </c>
      <c r="K103" s="38">
        <f t="shared" si="128"/>
        <v>87802.06</v>
      </c>
      <c r="L103" s="38">
        <f t="shared" si="128"/>
        <v>424324.15000000008</v>
      </c>
      <c r="M103" s="38">
        <f t="shared" si="123"/>
        <v>-18200.199000000081</v>
      </c>
      <c r="N103" s="113">
        <f t="shared" si="124"/>
        <v>95.710779365256471</v>
      </c>
      <c r="O103" s="38">
        <f>O104+O105+O106+O109</f>
        <v>424324.15000000008</v>
      </c>
      <c r="P103" s="38">
        <f t="shared" si="125"/>
        <v>-18200.199000000081</v>
      </c>
      <c r="Q103" s="113">
        <f t="shared" si="126"/>
        <v>95.710779365256471</v>
      </c>
      <c r="R103" s="113">
        <f t="shared" si="127"/>
        <v>41.954604586331889</v>
      </c>
      <c r="S103" s="38">
        <f>S104+S105+S106+S109</f>
        <v>357501.16500000004</v>
      </c>
      <c r="T103" s="62">
        <f t="shared" ref="T103:T111" si="130">F103-S103</f>
        <v>48622.785999999964</v>
      </c>
      <c r="U103" s="63">
        <f>F103/S103*100</f>
        <v>113.60073497942307</v>
      </c>
    </row>
    <row r="104" spans="1:23" s="39" customFormat="1" ht="22.5" hidden="1" x14ac:dyDescent="0.3">
      <c r="A104" s="101"/>
      <c r="B104" s="97" t="s">
        <v>133</v>
      </c>
      <c r="C104" s="37"/>
      <c r="D104" s="38">
        <f>D69</f>
        <v>0</v>
      </c>
      <c r="E104" s="38">
        <f>E69</f>
        <v>0</v>
      </c>
      <c r="F104" s="38">
        <f t="shared" si="78"/>
        <v>0</v>
      </c>
      <c r="G104" s="38">
        <f>G69</f>
        <v>0</v>
      </c>
      <c r="H104" s="38">
        <f>H69</f>
        <v>0</v>
      </c>
      <c r="I104" s="38">
        <f>I69</f>
        <v>0</v>
      </c>
      <c r="J104" s="38">
        <f>J69</f>
        <v>0</v>
      </c>
      <c r="K104" s="38">
        <f>K69</f>
        <v>0</v>
      </c>
      <c r="L104" s="38">
        <f>L69</f>
        <v>0</v>
      </c>
      <c r="M104" s="38">
        <f t="shared" si="123"/>
        <v>0</v>
      </c>
      <c r="N104" s="113"/>
      <c r="O104" s="38">
        <f>O69</f>
        <v>0</v>
      </c>
      <c r="P104" s="38">
        <f t="shared" si="125"/>
        <v>0</v>
      </c>
      <c r="Q104" s="113"/>
      <c r="R104" s="113"/>
      <c r="S104" s="38">
        <f>S69</f>
        <v>4581.5</v>
      </c>
      <c r="T104" s="62">
        <f t="shared" si="130"/>
        <v>-4581.5</v>
      </c>
      <c r="U104" s="63"/>
    </row>
    <row r="105" spans="1:23" s="39" customFormat="1" ht="34.5" customHeight="1" x14ac:dyDescent="0.3">
      <c r="A105" s="101"/>
      <c r="B105" s="97" t="s">
        <v>105</v>
      </c>
      <c r="C105" s="37"/>
      <c r="D105" s="38">
        <f>D70</f>
        <v>0</v>
      </c>
      <c r="E105" s="38">
        <f>E70</f>
        <v>2856.1129999999998</v>
      </c>
      <c r="F105" s="38">
        <f t="shared" si="78"/>
        <v>2126.0950000000003</v>
      </c>
      <c r="G105" s="38">
        <f>G70</f>
        <v>0</v>
      </c>
      <c r="H105" s="38">
        <f>H70</f>
        <v>561.92399999999998</v>
      </c>
      <c r="I105" s="38">
        <f>I70</f>
        <v>0</v>
      </c>
      <c r="J105" s="38">
        <f>J70</f>
        <v>1564.171</v>
      </c>
      <c r="K105" s="38">
        <f>K70</f>
        <v>0</v>
      </c>
      <c r="L105" s="38">
        <f>L70</f>
        <v>2856.1129999999998</v>
      </c>
      <c r="M105" s="38">
        <f t="shared" si="123"/>
        <v>-730.01799999999957</v>
      </c>
      <c r="N105" s="113">
        <f t="shared" si="124"/>
        <v>74.440156954574292</v>
      </c>
      <c r="O105" s="38">
        <f>O70</f>
        <v>2856.1129999999998</v>
      </c>
      <c r="P105" s="38">
        <f t="shared" si="125"/>
        <v>-730.01799999999957</v>
      </c>
      <c r="Q105" s="113">
        <f t="shared" ref="Q105" si="131">F105/O105*100</f>
        <v>74.440156954574292</v>
      </c>
      <c r="R105" s="113">
        <f t="shared" ref="R105" si="132">F105/E105*100</f>
        <v>74.440156954574292</v>
      </c>
      <c r="S105" s="38">
        <f>S70</f>
        <v>0</v>
      </c>
      <c r="T105" s="62">
        <f t="shared" si="130"/>
        <v>2126.0950000000003</v>
      </c>
      <c r="U105" s="63"/>
    </row>
    <row r="106" spans="1:23" s="39" customFormat="1" ht="22.5" x14ac:dyDescent="0.3">
      <c r="A106" s="101"/>
      <c r="B106" s="40" t="s">
        <v>70</v>
      </c>
      <c r="C106" s="37"/>
      <c r="D106" s="38">
        <f>D107+D108</f>
        <v>921893.46699999995</v>
      </c>
      <c r="E106" s="38">
        <f t="shared" ref="E106" si="133">E107+E108</f>
        <v>932532.61599999992</v>
      </c>
      <c r="F106" s="38">
        <f t="shared" si="78"/>
        <v>371378.53200000001</v>
      </c>
      <c r="G106" s="38">
        <f t="shared" ref="G106:L106" si="134">G107+G108</f>
        <v>65509.462</v>
      </c>
      <c r="H106" s="38">
        <f t="shared" ref="H106:K106" si="135">H107+H108</f>
        <v>75893.362999999998</v>
      </c>
      <c r="I106" s="38">
        <f t="shared" ref="I106:J106" si="136">I107+I108</f>
        <v>70826.703999999998</v>
      </c>
      <c r="J106" s="38">
        <f t="shared" si="136"/>
        <v>79596.705000000002</v>
      </c>
      <c r="K106" s="38">
        <f t="shared" si="135"/>
        <v>79552.297999999995</v>
      </c>
      <c r="L106" s="38">
        <f t="shared" si="134"/>
        <v>388848.71300000005</v>
      </c>
      <c r="M106" s="38">
        <f t="shared" si="123"/>
        <v>-17470.181000000041</v>
      </c>
      <c r="N106" s="113">
        <f t="shared" si="124"/>
        <v>95.507203594627811</v>
      </c>
      <c r="O106" s="38">
        <f t="shared" ref="O106" si="137">O107+O108</f>
        <v>388848.71300000005</v>
      </c>
      <c r="P106" s="38">
        <f t="shared" si="125"/>
        <v>-17470.181000000041</v>
      </c>
      <c r="Q106" s="113">
        <f t="shared" si="126"/>
        <v>95.507203594627811</v>
      </c>
      <c r="R106" s="113">
        <f t="shared" si="127"/>
        <v>39.824723085074382</v>
      </c>
      <c r="S106" s="38">
        <f t="shared" ref="S106" si="138">S107+S108</f>
        <v>352919.66500000004</v>
      </c>
      <c r="T106" s="62">
        <f t="shared" si="130"/>
        <v>18458.866999999969</v>
      </c>
      <c r="U106" s="63">
        <f>F106/S106*100</f>
        <v>105.23033110098865</v>
      </c>
    </row>
    <row r="107" spans="1:23" s="104" customFormat="1" ht="34.5" customHeight="1" x14ac:dyDescent="0.35">
      <c r="A107" s="102"/>
      <c r="B107" s="103" t="s">
        <v>96</v>
      </c>
      <c r="C107" s="103"/>
      <c r="D107" s="130">
        <f>D72+D94</f>
        <v>896476.1</v>
      </c>
      <c r="E107" s="130">
        <f>E72+E94</f>
        <v>896476.1</v>
      </c>
      <c r="F107" s="130">
        <f t="shared" si="78"/>
        <v>350780.59700000007</v>
      </c>
      <c r="G107" s="130">
        <f>G72+G94</f>
        <v>63808.4</v>
      </c>
      <c r="H107" s="130">
        <f>H72+H94</f>
        <v>63802.3</v>
      </c>
      <c r="I107" s="130">
        <f>I72+I94</f>
        <v>68667.997000000003</v>
      </c>
      <c r="J107" s="130">
        <f>J72+J94</f>
        <v>77227.5</v>
      </c>
      <c r="K107" s="130">
        <f>K72+K94</f>
        <v>77274.399999999994</v>
      </c>
      <c r="L107" s="130">
        <f>L72+L94</f>
        <v>368039.9</v>
      </c>
      <c r="M107" s="130">
        <f t="shared" si="123"/>
        <v>-17259.302999999956</v>
      </c>
      <c r="N107" s="118">
        <f t="shared" si="124"/>
        <v>95.310480466927643</v>
      </c>
      <c r="O107" s="130">
        <f>O72+O94</f>
        <v>368039.9</v>
      </c>
      <c r="P107" s="130">
        <f t="shared" si="125"/>
        <v>-17259.302999999956</v>
      </c>
      <c r="Q107" s="118">
        <f t="shared" si="126"/>
        <v>95.310480466927643</v>
      </c>
      <c r="R107" s="118">
        <f t="shared" si="127"/>
        <v>39.128828643619173</v>
      </c>
      <c r="S107" s="130">
        <f>S72+S94</f>
        <v>340965.80000000005</v>
      </c>
      <c r="T107" s="128">
        <f t="shared" si="130"/>
        <v>9814.7970000000205</v>
      </c>
      <c r="U107" s="129">
        <f>F107/S107*100</f>
        <v>102.87852828641466</v>
      </c>
    </row>
    <row r="108" spans="1:23" s="104" customFormat="1" ht="34.5" customHeight="1" x14ac:dyDescent="0.35">
      <c r="A108" s="102"/>
      <c r="B108" s="103" t="s">
        <v>95</v>
      </c>
      <c r="C108" s="103"/>
      <c r="D108" s="130">
        <f>D95+D73</f>
        <v>25417.366999999998</v>
      </c>
      <c r="E108" s="130">
        <f>E95+E73</f>
        <v>36056.516000000003</v>
      </c>
      <c r="F108" s="130">
        <f t="shared" si="78"/>
        <v>20597.935000000001</v>
      </c>
      <c r="G108" s="130">
        <f>G95+G73</f>
        <v>1701.0619999999999</v>
      </c>
      <c r="H108" s="130">
        <f>H95+H73</f>
        <v>12091.063</v>
      </c>
      <c r="I108" s="130">
        <f>I95+I73</f>
        <v>2158.7069999999999</v>
      </c>
      <c r="J108" s="130">
        <f>J95+J73</f>
        <v>2369.2049999999999</v>
      </c>
      <c r="K108" s="130">
        <f>K95+K73</f>
        <v>2277.8980000000001</v>
      </c>
      <c r="L108" s="130">
        <f>L95+L73</f>
        <v>20808.813000000002</v>
      </c>
      <c r="M108" s="130">
        <f t="shared" si="123"/>
        <v>-210.87800000000061</v>
      </c>
      <c r="N108" s="118">
        <f t="shared" si="124"/>
        <v>98.986592844099277</v>
      </c>
      <c r="O108" s="130">
        <f>O95+O73</f>
        <v>20808.813000000002</v>
      </c>
      <c r="P108" s="130">
        <f t="shared" si="125"/>
        <v>-210.87800000000061</v>
      </c>
      <c r="Q108" s="118">
        <f t="shared" si="126"/>
        <v>98.986592844099277</v>
      </c>
      <c r="R108" s="118">
        <f t="shared" si="127"/>
        <v>57.126803377231447</v>
      </c>
      <c r="S108" s="130">
        <f>S95+S73</f>
        <v>11953.865</v>
      </c>
      <c r="T108" s="128">
        <f t="shared" si="130"/>
        <v>8644.0700000000015</v>
      </c>
      <c r="U108" s="129">
        <f>F108/S108*100</f>
        <v>172.31192589175134</v>
      </c>
    </row>
    <row r="109" spans="1:23" s="114" customFormat="1" ht="46.5" customHeight="1" x14ac:dyDescent="0.25">
      <c r="A109" s="32"/>
      <c r="B109" s="112" t="s">
        <v>183</v>
      </c>
      <c r="C109" s="25"/>
      <c r="D109" s="38">
        <f>D96</f>
        <v>0</v>
      </c>
      <c r="E109" s="38">
        <f>E96</f>
        <v>32619.324000000001</v>
      </c>
      <c r="F109" s="38">
        <f t="shared" ref="F109" si="139">SUM(G109:K109)</f>
        <v>32619.324000000001</v>
      </c>
      <c r="G109" s="38">
        <f>G96</f>
        <v>24369.562000000002</v>
      </c>
      <c r="H109" s="38">
        <f>H96</f>
        <v>0</v>
      </c>
      <c r="I109" s="38">
        <f>I96</f>
        <v>0</v>
      </c>
      <c r="J109" s="38">
        <f>J96</f>
        <v>0</v>
      </c>
      <c r="K109" s="38">
        <f>K96</f>
        <v>8249.7620000000006</v>
      </c>
      <c r="L109" s="38">
        <f>L96</f>
        <v>32619.324000000001</v>
      </c>
      <c r="M109" s="38">
        <f t="shared" si="123"/>
        <v>0</v>
      </c>
      <c r="N109" s="113">
        <f t="shared" si="124"/>
        <v>100</v>
      </c>
      <c r="O109" s="131">
        <f>O96</f>
        <v>32619.324000000001</v>
      </c>
      <c r="P109" s="38">
        <f t="shared" si="125"/>
        <v>0</v>
      </c>
      <c r="Q109" s="113">
        <f t="shared" si="126"/>
        <v>100</v>
      </c>
      <c r="R109" s="113">
        <f t="shared" si="127"/>
        <v>100</v>
      </c>
      <c r="S109" s="38">
        <f>S96</f>
        <v>0</v>
      </c>
      <c r="T109" s="62">
        <f t="shared" si="130"/>
        <v>32619.324000000001</v>
      </c>
      <c r="U109" s="63"/>
    </row>
    <row r="110" spans="1:23" x14ac:dyDescent="0.2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3"/>
      <c r="U110" s="132"/>
    </row>
    <row r="111" spans="1:23" s="174" customFormat="1" ht="55.5" customHeight="1" x14ac:dyDescent="0.3">
      <c r="A111" s="180"/>
      <c r="B111" s="167" t="s">
        <v>120</v>
      </c>
      <c r="C111" s="178"/>
      <c r="D111" s="169">
        <f>D99+D103</f>
        <v>6355016.3520000009</v>
      </c>
      <c r="E111" s="169">
        <f>E99+E103</f>
        <v>6466592.8620000016</v>
      </c>
      <c r="F111" s="169">
        <f t="shared" si="78"/>
        <v>2773389.2520000003</v>
      </c>
      <c r="G111" s="169">
        <f>G99+G103</f>
        <v>557088.33100000012</v>
      </c>
      <c r="H111" s="169">
        <f>H99+H103</f>
        <v>551949.60899999994</v>
      </c>
      <c r="I111" s="169">
        <f>I99+I103</f>
        <v>473623.25300000014</v>
      </c>
      <c r="J111" s="169">
        <f>J99+J103</f>
        <v>585726.23599999992</v>
      </c>
      <c r="K111" s="169">
        <f>K99+K103</f>
        <v>605001.82300000009</v>
      </c>
      <c r="L111" s="169">
        <f>L99+L103</f>
        <v>2597270.0359999998</v>
      </c>
      <c r="M111" s="169">
        <f t="shared" si="123"/>
        <v>176119.21600000048</v>
      </c>
      <c r="N111" s="170">
        <f t="shared" si="124"/>
        <v>106.78093588879337</v>
      </c>
      <c r="O111" s="169">
        <f>O99+O103</f>
        <v>2715401.1537500001</v>
      </c>
      <c r="P111" s="169">
        <f t="shared" si="125"/>
        <v>57988.098250000272</v>
      </c>
      <c r="Q111" s="170">
        <f t="shared" si="126"/>
        <v>102.13552602236757</v>
      </c>
      <c r="R111" s="170">
        <f t="shared" si="127"/>
        <v>42.887952143970921</v>
      </c>
      <c r="S111" s="169">
        <f>S99+S103</f>
        <v>2608965.5290000001</v>
      </c>
      <c r="T111" s="171">
        <f t="shared" si="130"/>
        <v>164423.72300000023</v>
      </c>
      <c r="U111" s="172">
        <f>F111/S111*100</f>
        <v>106.30225739559782</v>
      </c>
      <c r="V111" s="181">
        <v>2608965.5290000001</v>
      </c>
      <c r="W111" s="169">
        <f>V111-S111</f>
        <v>0</v>
      </c>
    </row>
    <row r="112" spans="1:23" s="14" customFormat="1" ht="101.25" customHeight="1" x14ac:dyDescent="0.4">
      <c r="A112" s="33"/>
      <c r="B112" s="143" t="s">
        <v>205</v>
      </c>
      <c r="C112" s="143"/>
      <c r="D112" s="143"/>
      <c r="E112" s="21"/>
      <c r="F112" s="21" t="s">
        <v>206</v>
      </c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64"/>
      <c r="U112" s="65"/>
    </row>
    <row r="113" spans="1:21" s="7" customFormat="1" ht="18" customHeight="1" x14ac:dyDescent="0.45">
      <c r="A113" s="6"/>
      <c r="B113" s="29" t="s">
        <v>52</v>
      </c>
      <c r="C113" s="18"/>
      <c r="D113" s="18"/>
      <c r="E113" s="18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66"/>
      <c r="U113" s="67"/>
    </row>
    <row r="114" spans="1:21" s="7" customFormat="1" ht="30.75" hidden="1" x14ac:dyDescent="0.45">
      <c r="A114" s="6"/>
      <c r="B114" s="18"/>
      <c r="C114" s="18"/>
      <c r="D114" s="18"/>
      <c r="E114" s="92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66"/>
      <c r="U114" s="67"/>
    </row>
    <row r="115" spans="1:21" s="4" customFormat="1" ht="30.75" hidden="1" customHeight="1" x14ac:dyDescent="0.45">
      <c r="A115" s="27"/>
      <c r="B115" s="18"/>
      <c r="C115" s="18"/>
      <c r="D115" s="80">
        <v>6355016.352</v>
      </c>
      <c r="E115" s="80">
        <v>6466592.8619999997</v>
      </c>
      <c r="F115" s="80">
        <v>2773389.2519999999</v>
      </c>
      <c r="G115" s="81"/>
      <c r="H115" s="81"/>
      <c r="I115" s="81"/>
      <c r="J115" s="81"/>
      <c r="K115" s="81"/>
      <c r="L115" s="80">
        <v>2597270.0359999998</v>
      </c>
      <c r="M115" s="81"/>
      <c r="N115" s="81"/>
      <c r="O115" s="81"/>
      <c r="P115" s="81"/>
      <c r="Q115" s="81"/>
      <c r="R115" s="81"/>
      <c r="S115" s="80"/>
      <c r="T115" s="5"/>
    </row>
    <row r="116" spans="1:21" ht="12" hidden="1" customHeight="1" x14ac:dyDescent="0.45">
      <c r="B116" s="29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</row>
    <row r="117" spans="1:21" s="2" customFormat="1" ht="30.75" hidden="1" customHeight="1" x14ac:dyDescent="0.45">
      <c r="A117" s="28"/>
      <c r="B117" s="18"/>
      <c r="C117" s="18"/>
      <c r="D117" s="18"/>
      <c r="E117" s="18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137"/>
    </row>
    <row r="118" spans="1:21" s="2" customFormat="1" ht="30.75" hidden="1" customHeight="1" x14ac:dyDescent="0.45">
      <c r="A118" s="28"/>
      <c r="B118" s="18"/>
      <c r="C118" s="18"/>
      <c r="D118" s="18"/>
      <c r="E118" s="18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137"/>
    </row>
    <row r="119" spans="1:21" s="2" customFormat="1" ht="16.5" hidden="1" customHeight="1" x14ac:dyDescent="0.45">
      <c r="A119" s="28"/>
      <c r="B119" s="29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137"/>
    </row>
    <row r="120" spans="1:21" ht="18.75" hidden="1" x14ac:dyDescent="0.3">
      <c r="B120" s="27"/>
      <c r="D120" s="80">
        <f>D115-D111</f>
        <v>0</v>
      </c>
      <c r="E120" s="80">
        <f>E115-E111</f>
        <v>0</v>
      </c>
      <c r="F120" s="80">
        <f>F115-F111</f>
        <v>0</v>
      </c>
      <c r="L120" s="80" t="e">
        <f>#REF!-L115</f>
        <v>#REF!</v>
      </c>
      <c r="S120" s="80"/>
    </row>
    <row r="121" spans="1:21" ht="18.75" hidden="1" x14ac:dyDescent="0.3">
      <c r="B121" s="27"/>
      <c r="D121" s="80"/>
      <c r="E121" s="80">
        <v>6390430.7759999996</v>
      </c>
      <c r="F121" s="80">
        <v>1582661.192</v>
      </c>
    </row>
    <row r="122" spans="1:21" ht="18.75" hidden="1" x14ac:dyDescent="0.3">
      <c r="B122" s="27"/>
      <c r="D122" s="80"/>
      <c r="E122" s="80">
        <f>E121-E111</f>
        <v>-76162.086000001989</v>
      </c>
      <c r="F122" s="80">
        <f>F121-F111</f>
        <v>-1190728.0600000003</v>
      </c>
      <c r="S122" s="80"/>
    </row>
    <row r="123" spans="1:21" ht="18.75" hidden="1" x14ac:dyDescent="0.3">
      <c r="B123" s="4"/>
      <c r="C123" s="3"/>
      <c r="D123" s="3"/>
      <c r="E123" s="3"/>
      <c r="M123" s="144" t="s">
        <v>49</v>
      </c>
      <c r="N123" s="144"/>
      <c r="O123" s="120">
        <f>E51/12*5</f>
        <v>2202171.7920833337</v>
      </c>
    </row>
    <row r="124" spans="1:21" ht="22.5" hidden="1" x14ac:dyDescent="0.3">
      <c r="B124" s="4"/>
      <c r="C124" s="3"/>
      <c r="D124" s="3"/>
      <c r="E124" s="93"/>
      <c r="F124" s="93"/>
      <c r="M124" s="137"/>
      <c r="N124" s="137"/>
      <c r="O124" s="120">
        <f>O123-O51</f>
        <v>0</v>
      </c>
      <c r="S124" s="93"/>
    </row>
    <row r="125" spans="1:21" ht="18.75" hidden="1" x14ac:dyDescent="0.3">
      <c r="B125" s="4"/>
      <c r="C125" s="3"/>
      <c r="D125" s="3"/>
      <c r="E125" s="3"/>
      <c r="M125" s="144" t="s">
        <v>50</v>
      </c>
      <c r="N125" s="144"/>
      <c r="O125" s="121">
        <f>E88/12*5</f>
        <v>88905.21166666667</v>
      </c>
    </row>
    <row r="126" spans="1:21" ht="18.75" hidden="1" x14ac:dyDescent="0.3">
      <c r="B126" s="4"/>
      <c r="C126" s="3"/>
      <c r="D126" s="3"/>
      <c r="E126" s="3"/>
      <c r="M126" s="137"/>
      <c r="N126" s="137"/>
      <c r="O126" s="120">
        <f>O125-O88</f>
        <v>0</v>
      </c>
      <c r="P126" s="3" t="s">
        <v>182</v>
      </c>
    </row>
    <row r="127" spans="1:21" ht="18.75" hidden="1" x14ac:dyDescent="0.3">
      <c r="B127" s="94"/>
      <c r="C127" s="3"/>
      <c r="D127" s="3"/>
      <c r="E127" s="3"/>
      <c r="M127" s="144" t="s">
        <v>51</v>
      </c>
      <c r="N127" s="144"/>
      <c r="O127" s="120">
        <f>O125+O92</f>
        <v>149174.86966666667</v>
      </c>
    </row>
    <row r="128" spans="1:21" ht="18.75" hidden="1" x14ac:dyDescent="0.3">
      <c r="B128" s="4"/>
      <c r="C128" s="3"/>
      <c r="D128" s="3"/>
      <c r="E128" s="3"/>
      <c r="M128" s="137"/>
      <c r="N128" s="137"/>
      <c r="O128" s="120">
        <f>O127-O97</f>
        <v>0</v>
      </c>
    </row>
    <row r="129" spans="2:46" s="19" customFormat="1" ht="18.75" hidden="1" x14ac:dyDescent="0.3">
      <c r="B129" s="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1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 spans="2:46" s="19" customFormat="1" ht="18.75" hidden="1" x14ac:dyDescent="0.3">
      <c r="B130" s="4"/>
      <c r="C130" s="3"/>
      <c r="D130" s="3"/>
      <c r="E130" s="81"/>
      <c r="F130" s="81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81"/>
      <c r="T130" s="1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 spans="2:46" s="19" customFormat="1" ht="18.75" hidden="1" x14ac:dyDescent="0.3">
      <c r="B131" s="4"/>
      <c r="C131" s="3"/>
      <c r="D131" s="182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1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</row>
    <row r="132" spans="2:46" s="19" customFormat="1" ht="18.75" hidden="1" x14ac:dyDescent="0.3"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1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</row>
    <row r="133" spans="2:46" s="19" customFormat="1" ht="22.5" hidden="1" x14ac:dyDescent="0.3">
      <c r="B133" s="4"/>
      <c r="C133" s="3"/>
      <c r="D133" s="9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1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spans="2:46" s="19" customFormat="1" ht="18.75" hidden="1" x14ac:dyDescent="0.3">
      <c r="B134" s="4"/>
      <c r="C134" s="3"/>
      <c r="D134" s="3"/>
      <c r="E134" s="3"/>
      <c r="F134" s="81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81"/>
      <c r="T134" s="1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 spans="2:46" s="19" customFormat="1" ht="18.75" hidden="1" x14ac:dyDescent="0.3"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1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  <row r="136" spans="2:46" s="19" customFormat="1" ht="18.75" x14ac:dyDescent="0.3"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1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spans="2:46" s="19" customFormat="1" ht="18.75" x14ac:dyDescent="0.3">
      <c r="B137" s="27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1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2:46" s="19" customFormat="1" ht="18.75" x14ac:dyDescent="0.3">
      <c r="B138" s="27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1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</sheetData>
  <mergeCells count="32">
    <mergeCell ref="A1:U1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K3:K4"/>
    <mergeCell ref="T3:T4"/>
    <mergeCell ref="U3:U4"/>
    <mergeCell ref="J3:J4"/>
    <mergeCell ref="A6:U6"/>
    <mergeCell ref="N3:N4"/>
    <mergeCell ref="O3:O4"/>
    <mergeCell ref="P3:P4"/>
    <mergeCell ref="Q3:Q4"/>
    <mergeCell ref="R3:R4"/>
    <mergeCell ref="S3:S4"/>
    <mergeCell ref="H3:H4"/>
    <mergeCell ref="I3:I4"/>
    <mergeCell ref="B112:D112"/>
    <mergeCell ref="M123:N123"/>
    <mergeCell ref="M125:N125"/>
    <mergeCell ref="M127:N127"/>
    <mergeCell ref="C15:C17"/>
    <mergeCell ref="C23:C25"/>
    <mergeCell ref="A51:C51"/>
    <mergeCell ref="A98:U98"/>
    <mergeCell ref="A76:U76"/>
  </mergeCells>
  <printOptions horizontalCentered="1"/>
  <pageMargins left="0.39370078740157483" right="0" top="0" bottom="0" header="0.23622047244094491" footer="0.11811023622047245"/>
  <pageSetup paperSize="8" scale="61" fitToHeight="10" orientation="landscape" horizontalDpi="300" verticalDpi="300" r:id="rId1"/>
  <headerFooter alignWithMargins="0"/>
  <rowBreaks count="1" manualBreakCount="1">
    <brk id="75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DC5F1B-D535-4A3F-8E8B-D26E9B299826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01.06.2024</vt:lpstr>
      <vt:lpstr>'01.06.2024'!Заголовки_для_друку</vt:lpstr>
      <vt:lpstr>'01.06.2024'!Область_друку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2024-06-03T08:32:25Z</cp:lastPrinted>
  <dcterms:created xsi:type="dcterms:W3CDTF">1996-10-08T23:32:33Z</dcterms:created>
  <dcterms:modified xsi:type="dcterms:W3CDTF">2024-06-06T08:35:30Z</dcterms:modified>
</cp:coreProperties>
</file>